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adre\Driftsbyen\KimHa\Overtagelse af private vandværker\Vestre Vandværk Hedehusene\"/>
    </mc:Choice>
  </mc:AlternateContent>
  <xr:revisionPtr revIDLastSave="0" documentId="13_ncr:1_{D085275A-1565-46C7-BC2F-DD77259A8078}" xr6:coauthVersionLast="47" xr6:coauthVersionMax="47" xr10:uidLastSave="{00000000-0000-0000-0000-000000000000}"/>
  <bookViews>
    <workbookView xWindow="-120" yWindow="-120" windowWidth="25440" windowHeight="14775" xr2:uid="{E3784CC8-AD49-45A4-B365-5E2A0D879140}"/>
  </bookViews>
  <sheets>
    <sheet name="Reduceret tilslutningsbidrag" sheetId="1" r:id="rId1"/>
    <sheet name="Historiske invest. jf. POLKA" sheetId="2" r:id="rId2"/>
    <sheet name="Gennemf. invest. 2010-2024" sheetId="5" r:id="rId3"/>
    <sheet name="Pristalsregulseri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8" i="5" l="1"/>
  <c r="M13" i="5"/>
  <c r="L61" i="5"/>
  <c r="B54" i="5"/>
  <c r="C53" i="5"/>
  <c r="U53" i="5" s="1"/>
  <c r="C52" i="5"/>
  <c r="U52" i="5" s="1"/>
  <c r="B49" i="5"/>
  <c r="T7" i="2"/>
  <c r="U7" i="2" s="1"/>
  <c r="T6" i="2"/>
  <c r="U6" i="2" s="1"/>
  <c r="C20" i="4"/>
  <c r="C48" i="5" s="1"/>
  <c r="T48" i="5" s="1"/>
  <c r="C19" i="4"/>
  <c r="C47" i="5" l="1"/>
  <c r="U47" i="5" s="1"/>
  <c r="C42" i="5"/>
  <c r="C43" i="5"/>
  <c r="U54" i="5"/>
  <c r="U48" i="5"/>
  <c r="C54" i="5"/>
  <c r="G11" i="1"/>
  <c r="F11" i="1"/>
  <c r="H11" i="1" s="1"/>
  <c r="C49" i="5" l="1"/>
  <c r="T47" i="5"/>
  <c r="T49" i="5" s="1"/>
  <c r="U49" i="5"/>
  <c r="B27" i="5"/>
  <c r="B7" i="5"/>
  <c r="U42" i="5"/>
  <c r="T43" i="5" l="1"/>
  <c r="U43" i="5"/>
  <c r="U44" i="5" s="1"/>
  <c r="S42" i="5"/>
  <c r="T42" i="5"/>
  <c r="C18" i="4"/>
  <c r="S43" i="5"/>
  <c r="B44" i="5"/>
  <c r="C44" i="5"/>
  <c r="C37" i="5" l="1"/>
  <c r="U37" i="5" s="1"/>
  <c r="C38" i="5"/>
  <c r="U38" i="5" s="1"/>
  <c r="T44" i="5"/>
  <c r="S44" i="5"/>
  <c r="B24" i="5"/>
  <c r="U39" i="5" l="1"/>
  <c r="S38" i="5"/>
  <c r="T38" i="5"/>
  <c r="S37" i="5"/>
  <c r="T37" i="5"/>
  <c r="F13" i="1"/>
  <c r="G14" i="1"/>
  <c r="G13" i="1"/>
  <c r="G12" i="1"/>
  <c r="G15" i="1"/>
  <c r="F15" i="1"/>
  <c r="F14" i="1"/>
  <c r="F12" i="1"/>
  <c r="B39" i="5"/>
  <c r="R38" i="5"/>
  <c r="B34" i="5"/>
  <c r="B19" i="5"/>
  <c r="S39" i="5" l="1"/>
  <c r="T39" i="5"/>
  <c r="H14" i="1"/>
  <c r="R37" i="5"/>
  <c r="R39" i="5" s="1"/>
  <c r="C39" i="5"/>
  <c r="B9" i="5"/>
  <c r="B29" i="5"/>
  <c r="B14" i="5"/>
  <c r="B58" i="5" l="1"/>
  <c r="G61" i="5"/>
  <c r="C17" i="4" l="1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2" i="5" l="1"/>
  <c r="Q32" i="5" s="1"/>
  <c r="C33" i="5"/>
  <c r="C28" i="5"/>
  <c r="C23" i="5"/>
  <c r="C27" i="5"/>
  <c r="C18" i="5"/>
  <c r="C22" i="5"/>
  <c r="C17" i="5"/>
  <c r="C12" i="5"/>
  <c r="T12" i="5" s="1"/>
  <c r="C13" i="5"/>
  <c r="C7" i="5"/>
  <c r="C8" i="5"/>
  <c r="C8" i="2"/>
  <c r="T8" i="2" s="1"/>
  <c r="B8" i="2"/>
  <c r="E4" i="4"/>
  <c r="E5" i="4" s="1"/>
  <c r="E6" i="4" s="1"/>
  <c r="E7" i="4" s="1"/>
  <c r="E8" i="4" s="1"/>
  <c r="E9" i="4" s="1"/>
  <c r="E10" i="4" s="1"/>
  <c r="E11" i="4" s="1"/>
  <c r="E12" i="4" s="1"/>
  <c r="E13" i="4" s="1"/>
  <c r="E14" i="4" s="1"/>
  <c r="E16" i="1"/>
  <c r="U8" i="2" l="1"/>
  <c r="F4" i="1" s="1"/>
  <c r="F6" i="1" s="1"/>
  <c r="H17" i="1" s="1"/>
  <c r="T33" i="5"/>
  <c r="U33" i="5"/>
  <c r="T32" i="5"/>
  <c r="U32" i="5"/>
  <c r="T28" i="5"/>
  <c r="U28" i="5"/>
  <c r="T27" i="5"/>
  <c r="U27" i="5"/>
  <c r="T23" i="5"/>
  <c r="U23" i="5"/>
  <c r="T22" i="5"/>
  <c r="U22" i="5"/>
  <c r="T18" i="5"/>
  <c r="U18" i="5"/>
  <c r="T17" i="5"/>
  <c r="U17" i="5"/>
  <c r="T13" i="5"/>
  <c r="T14" i="5" s="1"/>
  <c r="U13" i="5"/>
  <c r="U14" i="5" s="1"/>
  <c r="U58" i="5" s="1"/>
  <c r="T8" i="5"/>
  <c r="U8" i="5"/>
  <c r="P27" i="5"/>
  <c r="S27" i="5"/>
  <c r="R27" i="5"/>
  <c r="C29" i="5"/>
  <c r="Q27" i="5"/>
  <c r="S12" i="5"/>
  <c r="R12" i="5"/>
  <c r="N12" i="5"/>
  <c r="Q12" i="5"/>
  <c r="P12" i="5"/>
  <c r="O12" i="5"/>
  <c r="M12" i="5"/>
  <c r="C14" i="5"/>
  <c r="S28" i="5"/>
  <c r="P28" i="5"/>
  <c r="R28" i="5"/>
  <c r="Q28" i="5"/>
  <c r="S13" i="5"/>
  <c r="Q13" i="5"/>
  <c r="P13" i="5"/>
  <c r="O13" i="5"/>
  <c r="N13" i="5"/>
  <c r="R13" i="5"/>
  <c r="S22" i="5"/>
  <c r="R22" i="5"/>
  <c r="Q22" i="5"/>
  <c r="C24" i="5"/>
  <c r="O22" i="5"/>
  <c r="P22" i="5"/>
  <c r="E15" i="4"/>
  <c r="E16" i="4" s="1"/>
  <c r="E17" i="4" s="1"/>
  <c r="E18" i="4" s="1"/>
  <c r="E19" i="4" s="1"/>
  <c r="E20" i="4" s="1"/>
  <c r="S23" i="5"/>
  <c r="O23" i="5"/>
  <c r="R23" i="5"/>
  <c r="Q23" i="5"/>
  <c r="P23" i="5"/>
  <c r="N17" i="5"/>
  <c r="S17" i="5"/>
  <c r="O17" i="5"/>
  <c r="R17" i="5"/>
  <c r="C19" i="5"/>
  <c r="Q17" i="5"/>
  <c r="P17" i="5"/>
  <c r="S18" i="5"/>
  <c r="R18" i="5"/>
  <c r="O18" i="5"/>
  <c r="N18" i="5"/>
  <c r="P18" i="5"/>
  <c r="Q18" i="5"/>
  <c r="S32" i="5"/>
  <c r="R32" i="5"/>
  <c r="C34" i="5"/>
  <c r="L7" i="5"/>
  <c r="M7" i="5"/>
  <c r="S7" i="5"/>
  <c r="C9" i="5"/>
  <c r="N7" i="5"/>
  <c r="Q7" i="5"/>
  <c r="O7" i="5"/>
  <c r="R7" i="5"/>
  <c r="P7" i="5"/>
  <c r="S33" i="5"/>
  <c r="Q33" i="5"/>
  <c r="R33" i="5"/>
  <c r="S8" i="5"/>
  <c r="Q8" i="5"/>
  <c r="L8" i="5"/>
  <c r="P8" i="5"/>
  <c r="M8" i="5"/>
  <c r="N8" i="5"/>
  <c r="O8" i="5"/>
  <c r="R8" i="5"/>
  <c r="H15" i="1"/>
  <c r="H12" i="1"/>
  <c r="H13" i="1"/>
  <c r="G16" i="1"/>
  <c r="F16" i="1"/>
  <c r="C58" i="5" l="1"/>
  <c r="T29" i="5"/>
  <c r="T34" i="5"/>
  <c r="U34" i="5"/>
  <c r="U24" i="5"/>
  <c r="U29" i="5"/>
  <c r="T24" i="5"/>
  <c r="U19" i="5"/>
  <c r="T19" i="5"/>
  <c r="U9" i="5"/>
  <c r="T9" i="5"/>
  <c r="P24" i="5"/>
  <c r="Q14" i="5"/>
  <c r="P14" i="5"/>
  <c r="N14" i="5"/>
  <c r="S34" i="5"/>
  <c r="N9" i="5"/>
  <c r="Q34" i="5"/>
  <c r="P9" i="5"/>
  <c r="L9" i="5"/>
  <c r="S19" i="5"/>
  <c r="R34" i="5"/>
  <c r="O14" i="5"/>
  <c r="S14" i="5"/>
  <c r="R9" i="5"/>
  <c r="N19" i="5"/>
  <c r="P29" i="5"/>
  <c r="O9" i="5"/>
  <c r="P19" i="5"/>
  <c r="O24" i="5"/>
  <c r="Q29" i="5"/>
  <c r="R14" i="5"/>
  <c r="Q9" i="5"/>
  <c r="M14" i="5"/>
  <c r="Q19" i="5"/>
  <c r="Q24" i="5"/>
  <c r="R29" i="5"/>
  <c r="S9" i="5"/>
  <c r="R19" i="5"/>
  <c r="R24" i="5"/>
  <c r="S29" i="5"/>
  <c r="H16" i="1"/>
  <c r="H18" i="1" s="1"/>
  <c r="H19" i="1" s="1"/>
  <c r="M9" i="5"/>
  <c r="O19" i="5"/>
  <c r="S24" i="5"/>
  <c r="S58" i="5" l="1"/>
  <c r="T58" i="5"/>
  <c r="R58" i="5"/>
  <c r="M61" i="5"/>
  <c r="Q58" i="5"/>
  <c r="P58" i="5"/>
  <c r="O58" i="5"/>
  <c r="N58" i="5"/>
  <c r="L58" i="5"/>
  <c r="N61" i="5" l="1"/>
  <c r="O61" i="5" s="1"/>
  <c r="P61" i="5" s="1"/>
  <c r="Q61" i="5" s="1"/>
  <c r="S61" i="5" l="1"/>
  <c r="T61" i="5" s="1"/>
  <c r="U61" i="5" s="1"/>
  <c r="R61" i="5"/>
</calcChain>
</file>

<file path=xl/sharedStrings.xml><?xml version="1.0" encoding="utf-8"?>
<sst xmlns="http://schemas.openxmlformats.org/spreadsheetml/2006/main" count="111" uniqueCount="66">
  <si>
    <t>År</t>
  </si>
  <si>
    <t>Prisudvikling</t>
  </si>
  <si>
    <t>Prisudvikling + 1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</si>
  <si>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</si>
  <si>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</si>
  <si>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</si>
  <si>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</si>
  <si>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</si>
  <si>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</si>
  <si>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</si>
  <si>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</si>
  <si>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</si>
  <si>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</si>
  <si>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</si>
  <si>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</si>
  <si>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</si>
  <si>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</si>
  <si>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Antal ejendomme</t>
  </si>
  <si>
    <t>Samlet tilsluttede ejendomme</t>
  </si>
  <si>
    <t>Afskrivning</t>
  </si>
  <si>
    <t>Levetid</t>
  </si>
  <si>
    <t xml:space="preserve">Afregningsmålere, mekaniske </t>
  </si>
  <si>
    <t>Ledningsnet, stik og ventiler</t>
  </si>
  <si>
    <t>Samlede afskrivning pr. år</t>
  </si>
  <si>
    <t>Samlet restværdi pr. år</t>
  </si>
  <si>
    <t>Pristalsregulering 2010-2021</t>
  </si>
  <si>
    <t>Samlet pristalsreguleret nedskrevet anlægsværdi</t>
  </si>
  <si>
    <t>POLKA</t>
  </si>
  <si>
    <t>Afskrivninger</t>
  </si>
  <si>
    <t>Historiske investeringer (2009-niveau)</t>
  </si>
  <si>
    <t>Historiske investeringer (2009-niveau) med områdetillæg</t>
  </si>
  <si>
    <t>Pristalsreguleret investeringer</t>
  </si>
  <si>
    <t>afskrivninger</t>
  </si>
  <si>
    <t>Samlede</t>
  </si>
  <si>
    <t>Nedskrevet</t>
  </si>
  <si>
    <t>Summeret prisudvikling</t>
  </si>
  <si>
    <t>Anskaffelesesum</t>
  </si>
  <si>
    <t>Afregningsmålere, mekaniske</t>
  </si>
  <si>
    <t>2020</t>
  </si>
  <si>
    <t>2021</t>
  </si>
  <si>
    <t>Pristalsreguleret</t>
  </si>
  <si>
    <t>2023</t>
  </si>
  <si>
    <t>Tilsluttede enfamiliebolig</t>
  </si>
  <si>
    <t>Tilsluttede beboelse med flere husstande, erhverv og institutioner ø40</t>
  </si>
  <si>
    <t>Tilsluttede beboelse med flere husstande, erhverv og institutioner ø50</t>
  </si>
  <si>
    <t>Tilsluttede beboelse med flere husstande, erhverv og institutioner ø63</t>
  </si>
  <si>
    <t>Tilsluttede beboelse med flere husstande, erhverv og institutioner ø75</t>
  </si>
  <si>
    <t>Reduceret tilslutningsbidrag (excl. moms)</t>
  </si>
  <si>
    <t>Samlet pristalsreguleret nedskrevet anlægsværdi (excl. moms)</t>
  </si>
  <si>
    <t>Historiekse investeringer jf. POLKA med pristalsregulering (excl. moms)</t>
  </si>
  <si>
    <t>Gennemførte investeringer 2010-2021 med pristalsregulering (excl. moms)</t>
  </si>
  <si>
    <t>Tilslutningsbidrag jf. takstblad (excl. moms)</t>
  </si>
  <si>
    <t>Reduceret tilslutningsbidrag (incl. moms)</t>
  </si>
  <si>
    <t>Samlede investeringer 2010-2024</t>
  </si>
  <si>
    <t>2024</t>
  </si>
  <si>
    <t>2023-2024</t>
  </si>
  <si>
    <t>Kathrineberg Vandværk</t>
  </si>
  <si>
    <t>Værdiopgørelse ved overtagelse af Vestre Vandværk Hedehusene A.M.B.A.</t>
  </si>
  <si>
    <t>Ejendomme tilsluttet Vestre Vandværk Hedehusene</t>
  </si>
  <si>
    <t>2024-2025</t>
  </si>
  <si>
    <t>Hovedanlæg- og for-syningsledningsbidrag 2026</t>
  </si>
  <si>
    <t>Stikledningsbidrag ifm. byggemodning 2026</t>
  </si>
  <si>
    <t>Samlet tilslutningsbidrag 2026</t>
  </si>
  <si>
    <t>2025-2026</t>
  </si>
  <si>
    <t>Pristalsreguleret nedskrevet standardværdi i POLKA pr. 31.12.2009 fratrukket afskrivninger 2010-2026 (excl. moms)</t>
  </si>
  <si>
    <t>Pristalsreguleret nedskrevne investeringer 2010-2026 (excl. moms)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</si>
</sst>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_ * #,##0_ ;_ * \-#,##0_ ;_ * &quot;-&quot;??_ ;_ @_ "/>
    <numFmt numFmtId="166" formatCode="#,##0.0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43" fontId="8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164" fontId="0" fillId="0" borderId="0" xfId="0" applyNumberFormat="1"/>
    <xf numFmtId="0" fontId="3" fillId="0" borderId="0" xfId="0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wrapText="1"/>
    </xf>
    <xf numFmtId="3" fontId="0" fillId="0" borderId="4" xfId="0" applyNumberFormat="1" applyBorder="1"/>
    <xf numFmtId="3" fontId="2" fillId="0" borderId="5" xfId="0" applyNumberFormat="1" applyFont="1" applyBorder="1"/>
    <xf numFmtId="0" fontId="2" fillId="0" borderId="0" xfId="0" applyFont="1" applyAlignment="1">
      <alignment wrapText="1"/>
    </xf>
    <xf numFmtId="3" fontId="4" fillId="0" borderId="0" xfId="0" applyNumberFormat="1" applyFont="1"/>
    <xf numFmtId="37" fontId="4" fillId="0" borderId="0" xfId="1" applyNumberFormat="1" applyFont="1"/>
    <xf numFmtId="3" fontId="5" fillId="0" borderId="0" xfId="0" applyNumberFormat="1" applyFont="1"/>
    <xf numFmtId="3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3" fontId="7" fillId="0" borderId="0" xfId="0" applyNumberFormat="1" applyFont="1"/>
    <xf numFmtId="166" fontId="0" fillId="0" borderId="0" xfId="0" applyNumberFormat="1"/>
    <xf numFmtId="0" fontId="5" fillId="2" borderId="6" xfId="0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/>
    <xf numFmtId="0" fontId="5" fillId="0" borderId="0" xfId="0" applyFont="1" applyAlignment="1">
      <alignment horizontal="left" indent="1"/>
    </xf>
    <xf numFmtId="3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indent="2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/>
    <xf numFmtId="3" fontId="5" fillId="0" borderId="8" xfId="0" applyNumberFormat="1" applyFont="1" applyBorder="1"/>
    <xf numFmtId="165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center"/>
    </xf>
    <xf numFmtId="4" fontId="0" fillId="0" borderId="0" xfId="0" applyNumberFormat="1"/>
    <xf numFmtId="4" fontId="5" fillId="2" borderId="6" xfId="0" applyNumberFormat="1" applyFont="1" applyFill="1" applyBorder="1" applyAlignment="1">
      <alignment horizontal="center"/>
    </xf>
    <xf numFmtId="4" fontId="5" fillId="2" borderId="0" xfId="0" applyNumberFormat="1" applyFont="1" applyFill="1"/>
    <xf numFmtId="4" fontId="5" fillId="0" borderId="0" xfId="0" applyNumberFormat="1" applyFont="1"/>
    <xf numFmtId="4" fontId="5" fillId="0" borderId="0" xfId="0" applyNumberFormat="1" applyFont="1" applyAlignment="1">
      <alignment horizontal="center"/>
    </xf>
    <xf numFmtId="4" fontId="5" fillId="0" borderId="8" xfId="0" applyNumberFormat="1" applyFont="1" applyBorder="1"/>
    <xf numFmtId="4" fontId="4" fillId="0" borderId="0" xfId="0" applyNumberFormat="1" applyFont="1"/>
    <xf numFmtId="4" fontId="4" fillId="0" borderId="0" xfId="1" applyNumberFormat="1" applyFont="1"/>
    <xf numFmtId="4" fontId="5" fillId="0" borderId="5" xfId="0" applyNumberFormat="1" applyFont="1" applyBorder="1"/>
    <xf numFmtId="3" fontId="4" fillId="0" borderId="4" xfId="0" applyNumberFormat="1" applyFont="1" applyBorder="1"/>
    <xf numFmtId="0" fontId="1" fillId="0" borderId="0" xfId="0" applyFont="1"/>
    <xf numFmtId="3" fontId="2" fillId="0" borderId="16" xfId="0" applyNumberFormat="1" applyFont="1" applyBorder="1"/>
    <xf numFmtId="3" fontId="9" fillId="0" borderId="0" xfId="0" applyNumberFormat="1" applyFont="1"/>
    <xf numFmtId="3" fontId="5" fillId="0" borderId="10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0" xfId="0" applyNumberFormat="1" applyFont="1" applyBorder="1"/>
    <xf numFmtId="3" fontId="5" fillId="0" borderId="4" xfId="0" applyNumberFormat="1" applyFont="1" applyBorder="1"/>
    <xf numFmtId="3" fontId="4" fillId="0" borderId="14" xfId="0" applyNumberFormat="1" applyFont="1" applyBorder="1"/>
    <xf numFmtId="1" fontId="5" fillId="0" borderId="1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4" fillId="0" borderId="0" xfId="0" applyFont="1"/>
    <xf numFmtId="3" fontId="4" fillId="0" borderId="10" xfId="0" applyNumberFormat="1" applyFont="1" applyBorder="1"/>
    <xf numFmtId="3" fontId="4" fillId="0" borderId="11" xfId="0" applyNumberFormat="1" applyFont="1" applyBorder="1"/>
    <xf numFmtId="3" fontId="4" fillId="0" borderId="15" xfId="0" applyNumberFormat="1" applyFont="1" applyBorder="1"/>
    <xf numFmtId="3" fontId="10" fillId="0" borderId="0" xfId="0" applyNumberFormat="1" applyFont="1"/>
    <xf numFmtId="3" fontId="4" fillId="0" borderId="9" xfId="0" applyNumberFormat="1" applyFont="1" applyBorder="1"/>
    <xf numFmtId="1" fontId="5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3" fontId="10" fillId="0" borderId="9" xfId="0" applyNumberFormat="1" applyFont="1" applyBorder="1"/>
    <xf numFmtId="3" fontId="5" fillId="2" borderId="0" xfId="0" applyNumberFormat="1" applyFont="1" applyFill="1"/>
    <xf numFmtId="0" fontId="0" fillId="0" borderId="4" xfId="0" applyBorder="1"/>
    <xf numFmtId="0" fontId="5" fillId="2" borderId="7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3" fontId="5" fillId="0" borderId="1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</cellXfs>
  <cellStyles count="3">
    <cellStyle name="Komma 2" xfId="2" xr:uid="{7C48F612-2AC7-4B61-AB36-F27ADAED040C}"/>
    <cellStyle name="Normal" xfId="0" builtinId="0"/>
    <cellStyle name="Normal_anlægskartotek" xfId="1" xr:uid="{F6217C33-2189-44DA-AD58-A6D469861C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3B4C-E563-4B4B-8E18-1DDD78D2E848}">
  <sheetPr>
    <pageSetUpPr fitToPage="1"/>
  </sheetPr>
  <dimension ref="A1:I19"/>
  <sheetViews>
    <sheetView tabSelected="1" workbookViewId="0">
      <selection activeCell="E12" sqref="E12"/>
    </sheetView>
  </sheetViews>
  <sheetFormatPr defaultRowHeight="15" x14ac:dyDescent="0.25"/>
  <cols>
    <col min="1" max="1" width="35.140625" customWidth="1"/>
    <col min="4" max="4" width="10.42578125" customWidth="1"/>
    <col min="5" max="5" width="12" style="6" bestFit="1" customWidth="1"/>
    <col min="6" max="6" width="31.5703125" style="6" bestFit="1" customWidth="1"/>
    <col min="7" max="7" width="25.42578125" customWidth="1"/>
    <col min="8" max="8" width="22" bestFit="1" customWidth="1"/>
    <col min="9" max="9" width="28.85546875" style="6" bestFit="1" customWidth="1"/>
    <col min="10" max="10" width="25.85546875" bestFit="1" customWidth="1"/>
  </cols>
  <sheetData>
    <row r="1" spans="1:9" ht="18.75" x14ac:dyDescent="0.3">
      <c r="A1" s="5" t="s">
        <v>57</v>
      </c>
    </row>
    <row r="3" spans="1:9" s="7" customFormat="1" x14ac:dyDescent="0.25">
      <c r="E3" s="8"/>
      <c r="F3" s="8" t="s">
        <v>58</v>
      </c>
      <c r="I3" s="8"/>
    </row>
    <row r="4" spans="1:9" ht="48" customHeight="1" x14ac:dyDescent="0.25">
      <c r="A4" s="70" t="s">
        <v>64</v>
      </c>
      <c r="B4" s="70"/>
      <c r="C4" s="70"/>
      <c r="D4" s="70"/>
      <c r="F4" s="6">
        <f>'Historiske invest. jf. POLKA'!U8</f>
        <v>461837.26551239792</v>
      </c>
      <c r="G4" s="9"/>
      <c r="H4" s="10"/>
    </row>
    <row r="5" spans="1:9" x14ac:dyDescent="0.25">
      <c r="A5" t="s">
        <v>65</v>
      </c>
      <c r="F5" s="44">
        <v>160148.86934932132</v>
      </c>
      <c r="G5" s="9"/>
    </row>
    <row r="6" spans="1:9" x14ac:dyDescent="0.25">
      <c r="A6" t="s">
        <v>48</v>
      </c>
      <c r="F6" s="6">
        <f>SUM(F4:F5)</f>
        <v>621986.13486171921</v>
      </c>
      <c r="G6" s="9"/>
    </row>
    <row r="10" spans="1:9" s="7" customFormat="1" ht="30" x14ac:dyDescent="0.25">
      <c r="A10" s="7" t="s">
        <v>51</v>
      </c>
      <c r="E10" s="17" t="s">
        <v>17</v>
      </c>
      <c r="F10" s="17" t="s">
        <v>60</v>
      </c>
      <c r="G10" s="18" t="s">
        <v>61</v>
      </c>
      <c r="H10" s="18" t="s">
        <v>62</v>
      </c>
      <c r="I10" s="13"/>
    </row>
    <row r="11" spans="1:9" x14ac:dyDescent="0.25">
      <c r="A11" t="s">
        <v>42</v>
      </c>
      <c r="E11" s="6">
        <v>187</v>
      </c>
      <c r="F11" s="6">
        <f>E11*(2800+18132)</f>
        <v>3914284</v>
      </c>
      <c r="G11" s="6">
        <f>E11*7657</f>
        <v>1431859</v>
      </c>
      <c r="H11" s="6">
        <f>F11+G11</f>
        <v>5346143</v>
      </c>
    </row>
    <row r="12" spans="1:9" x14ac:dyDescent="0.25">
      <c r="A12" t="s">
        <v>43</v>
      </c>
      <c r="E12" s="6">
        <v>0</v>
      </c>
      <c r="F12" s="6">
        <f>E12*1.6*17264</f>
        <v>0</v>
      </c>
      <c r="G12" s="6">
        <f t="shared" ref="G12:G14" si="0">E12*6315</f>
        <v>0</v>
      </c>
      <c r="H12" s="6">
        <f t="shared" ref="H12:H15" si="1">F12+G12</f>
        <v>0</v>
      </c>
    </row>
    <row r="13" spans="1:9" x14ac:dyDescent="0.25">
      <c r="A13" t="s">
        <v>44</v>
      </c>
      <c r="E13" s="6">
        <v>0</v>
      </c>
      <c r="F13" s="6">
        <f>E13*2.4*17264</f>
        <v>0</v>
      </c>
      <c r="G13" s="6">
        <f t="shared" si="0"/>
        <v>0</v>
      </c>
      <c r="H13" s="6">
        <f t="shared" si="1"/>
        <v>0</v>
      </c>
    </row>
    <row r="14" spans="1:9" x14ac:dyDescent="0.25">
      <c r="A14" t="s">
        <v>45</v>
      </c>
      <c r="E14" s="6">
        <v>0</v>
      </c>
      <c r="F14" s="6">
        <f>E14*3.9*17264</f>
        <v>0</v>
      </c>
      <c r="G14" s="6">
        <f t="shared" si="0"/>
        <v>0</v>
      </c>
      <c r="H14" s="6">
        <f t="shared" ref="H14" si="2">F14+G14</f>
        <v>0</v>
      </c>
    </row>
    <row r="15" spans="1:9" x14ac:dyDescent="0.25">
      <c r="A15" t="s">
        <v>46</v>
      </c>
      <c r="E15" s="11">
        <v>0</v>
      </c>
      <c r="F15" s="11">
        <f>E15*5.5*17264</f>
        <v>0</v>
      </c>
      <c r="G15" s="11">
        <f>E15*11365</f>
        <v>0</v>
      </c>
      <c r="H15" s="11">
        <f t="shared" si="1"/>
        <v>0</v>
      </c>
    </row>
    <row r="16" spans="1:9" s="7" customFormat="1" x14ac:dyDescent="0.25">
      <c r="A16" s="7" t="s">
        <v>18</v>
      </c>
      <c r="E16" s="8">
        <f>SUM(E11:E15)</f>
        <v>187</v>
      </c>
      <c r="F16" s="8">
        <f>SUM(F11:F15)</f>
        <v>3914284</v>
      </c>
      <c r="G16" s="8">
        <f>SUM(G11:G15)</f>
        <v>1431859</v>
      </c>
      <c r="H16" s="8">
        <f>SUM(H11:H15)</f>
        <v>5346143</v>
      </c>
      <c r="I16" s="8"/>
    </row>
    <row r="17" spans="1:9" x14ac:dyDescent="0.25">
      <c r="A17" t="s">
        <v>26</v>
      </c>
      <c r="H17" s="6">
        <f>F6</f>
        <v>621986.13486171921</v>
      </c>
    </row>
    <row r="18" spans="1:9" s="7" customFormat="1" x14ac:dyDescent="0.25">
      <c r="A18" s="7" t="s">
        <v>47</v>
      </c>
      <c r="E18" s="8"/>
      <c r="F18" s="8"/>
      <c r="H18" s="46">
        <f>H16-H17</f>
        <v>4724156.8651382811</v>
      </c>
      <c r="I18" s="8"/>
    </row>
    <row r="19" spans="1:9" ht="15.75" thickBot="1" x14ac:dyDescent="0.3">
      <c r="A19" s="7" t="s">
        <v>52</v>
      </c>
      <c r="H19" s="12">
        <f>H18*1.25</f>
        <v>5905196.0814228514</v>
      </c>
    </row>
  </sheetData>
  <mergeCells count="1">
    <mergeCell ref="A4:D4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2213-BC58-4D79-A46C-FCB8B962AEFF}">
  <sheetPr>
    <pageSetUpPr fitToPage="1"/>
  </sheetPr>
  <dimension ref="A1:V38"/>
  <sheetViews>
    <sheetView topLeftCell="B1" workbookViewId="0">
      <selection activeCell="L14" sqref="L14"/>
    </sheetView>
  </sheetViews>
  <sheetFormatPr defaultRowHeight="15" x14ac:dyDescent="0.25"/>
  <cols>
    <col min="1" max="1" width="52" style="14" customWidth="1"/>
    <col min="2" max="2" width="10.140625" style="14" bestFit="1" customWidth="1"/>
    <col min="3" max="15" width="9.28515625" style="14" bestFit="1" customWidth="1"/>
    <col min="16" max="16" width="9.28515625" style="14" customWidth="1"/>
    <col min="17" max="17" width="9.28515625" style="14" bestFit="1" customWidth="1"/>
    <col min="18" max="19" width="9.28515625" style="14" customWidth="1"/>
    <col min="20" max="20" width="12.5703125" style="14" bestFit="1" customWidth="1"/>
    <col min="21" max="21" width="13.140625" style="14" customWidth="1"/>
    <col min="22" max="22" width="21.140625" style="14" bestFit="1" customWidth="1"/>
    <col min="23" max="16384" width="9.140625" style="14"/>
  </cols>
  <sheetData>
    <row r="1" spans="1:22" ht="18.75" x14ac:dyDescent="0.3">
      <c r="A1" s="47" t="s">
        <v>49</v>
      </c>
    </row>
    <row r="2" spans="1:22" ht="18.75" x14ac:dyDescent="0.3">
      <c r="A2" s="47"/>
    </row>
    <row r="3" spans="1:22" ht="18.75" x14ac:dyDescent="0.3">
      <c r="A3" s="47"/>
    </row>
    <row r="4" spans="1:22" ht="15" customHeight="1" x14ac:dyDescent="0.25">
      <c r="A4" s="16" t="s">
        <v>56</v>
      </c>
      <c r="B4" s="48" t="s">
        <v>27</v>
      </c>
      <c r="C4" s="71" t="s">
        <v>28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27"/>
      <c r="P4" s="27"/>
      <c r="Q4" s="27"/>
      <c r="R4" s="27"/>
      <c r="S4" s="49"/>
      <c r="T4" s="48" t="s">
        <v>33</v>
      </c>
      <c r="U4" s="48" t="s">
        <v>34</v>
      </c>
      <c r="V4" s="16"/>
    </row>
    <row r="5" spans="1:22" ht="15" customHeight="1" x14ac:dyDescent="0.25">
      <c r="A5" s="51"/>
      <c r="B5" s="52"/>
      <c r="C5" s="53">
        <v>2010</v>
      </c>
      <c r="D5" s="54">
        <v>2011</v>
      </c>
      <c r="E5" s="54">
        <v>2012</v>
      </c>
      <c r="F5" s="54">
        <v>2013</v>
      </c>
      <c r="G5" s="54">
        <v>2014</v>
      </c>
      <c r="H5" s="54">
        <v>2015</v>
      </c>
      <c r="I5" s="54">
        <v>2016</v>
      </c>
      <c r="J5" s="54">
        <v>2017</v>
      </c>
      <c r="K5" s="54">
        <v>2018</v>
      </c>
      <c r="L5" s="54">
        <v>2019</v>
      </c>
      <c r="M5" s="54">
        <v>2020</v>
      </c>
      <c r="N5" s="54">
        <v>2021</v>
      </c>
      <c r="O5" s="54">
        <v>2022</v>
      </c>
      <c r="P5" s="54">
        <v>2023</v>
      </c>
      <c r="Q5" s="54">
        <v>2024</v>
      </c>
      <c r="R5" s="54">
        <v>2025</v>
      </c>
      <c r="S5" s="55">
        <v>2026</v>
      </c>
      <c r="T5" s="56" t="s">
        <v>32</v>
      </c>
      <c r="U5" s="56" t="s">
        <v>27</v>
      </c>
    </row>
    <row r="6" spans="1:22" ht="15" customHeight="1" x14ac:dyDescent="0.25">
      <c r="A6" s="57" t="s">
        <v>29</v>
      </c>
      <c r="B6" s="58">
        <v>539125</v>
      </c>
      <c r="C6" s="59">
        <v>11824</v>
      </c>
      <c r="D6" s="14">
        <v>11824</v>
      </c>
      <c r="E6" s="14">
        <v>11824</v>
      </c>
      <c r="F6" s="14">
        <v>11824</v>
      </c>
      <c r="G6" s="14">
        <v>11824</v>
      </c>
      <c r="H6" s="14">
        <v>11824</v>
      </c>
      <c r="I6" s="14">
        <v>11824</v>
      </c>
      <c r="J6" s="14">
        <v>11824</v>
      </c>
      <c r="K6" s="14">
        <v>11824</v>
      </c>
      <c r="L6" s="14">
        <v>11824</v>
      </c>
      <c r="M6" s="14">
        <v>11824</v>
      </c>
      <c r="N6" s="14">
        <v>11824</v>
      </c>
      <c r="O6" s="14">
        <v>11824</v>
      </c>
      <c r="P6" s="14">
        <v>11824</v>
      </c>
      <c r="Q6" s="14">
        <v>11824</v>
      </c>
      <c r="R6" s="14">
        <v>11824</v>
      </c>
      <c r="S6" s="60">
        <v>11824</v>
      </c>
      <c r="T6" s="58">
        <f>SUM(C6:S6)</f>
        <v>201008</v>
      </c>
      <c r="U6" s="58">
        <f>B6-T6</f>
        <v>338117</v>
      </c>
    </row>
    <row r="7" spans="1:22" ht="15" customHeight="1" x14ac:dyDescent="0.25">
      <c r="A7" s="57" t="s">
        <v>30</v>
      </c>
      <c r="B7" s="58">
        <v>559072</v>
      </c>
      <c r="C7" s="61">
        <v>12262</v>
      </c>
      <c r="D7" s="61">
        <v>12262</v>
      </c>
      <c r="E7" s="61">
        <v>12262</v>
      </c>
      <c r="F7" s="61">
        <v>12262</v>
      </c>
      <c r="G7" s="61">
        <v>12262</v>
      </c>
      <c r="H7" s="61">
        <v>12262</v>
      </c>
      <c r="I7" s="61">
        <v>12262</v>
      </c>
      <c r="J7" s="61">
        <v>12262</v>
      </c>
      <c r="K7" s="61">
        <v>12262</v>
      </c>
      <c r="L7" s="61">
        <v>12262</v>
      </c>
      <c r="M7" s="61">
        <v>12262</v>
      </c>
      <c r="N7" s="61">
        <v>12262</v>
      </c>
      <c r="O7" s="61">
        <v>12262</v>
      </c>
      <c r="P7" s="61">
        <v>12262</v>
      </c>
      <c r="Q7" s="61">
        <v>12262</v>
      </c>
      <c r="R7" s="61">
        <v>12262</v>
      </c>
      <c r="S7" s="66">
        <v>12262</v>
      </c>
      <c r="T7" s="58">
        <f>SUM(C7:S7)</f>
        <v>208454</v>
      </c>
      <c r="U7" s="58">
        <f>B7-T7</f>
        <v>350618</v>
      </c>
    </row>
    <row r="8" spans="1:22" ht="15" customHeight="1" x14ac:dyDescent="0.25">
      <c r="A8" s="14" t="s">
        <v>31</v>
      </c>
      <c r="B8" s="58">
        <f>B7*Pristalsregulsering!C4*Pristalsregulsering!C5*Pristalsregulsering!C6*Pristalsregulsering!C7*Pristalsregulsering!C8*Pristalsregulsering!C9*Pristalsregulsering!C10*Pristalsregulsering!C11*Pristalsregulsering!C12*Pristalsregulsering!C13*Pristalsregulsering!C14*Pristalsregulsering!C15*Pristalsregulsering!C16*Pristalsregulsering!C17*Pristalsregulsering!C18</f>
        <v>736414.7981693676</v>
      </c>
      <c r="C8" s="59">
        <f>C7*Pristalsregulsering!C4*Pristalsregulsering!C5*Pristalsregulsering!C6*Pristalsregulsering!C7*Pristalsregulsering!C8*Pristalsregulsering!C9*Pristalsregulsering!C10*Pristalsregulsering!C11*Pristalsregulsering!C12*Pristalsregulsering!C13*Pristalsregulsering!C14*Pristalsregulsering!C15*Pristalsregulsering!C16*Pristalsregulsering!C17*Pristalsregulsering!C18</f>
        <v>16151.619568057042</v>
      </c>
      <c r="D8" s="14">
        <v>16151.619568057042</v>
      </c>
      <c r="E8" s="14">
        <v>16151.619568057042</v>
      </c>
      <c r="F8" s="14">
        <v>16151.619568057042</v>
      </c>
      <c r="G8" s="14">
        <v>16151.619568057042</v>
      </c>
      <c r="H8" s="14">
        <v>16151.619568057042</v>
      </c>
      <c r="I8" s="14">
        <v>16151.619568057042</v>
      </c>
      <c r="J8" s="14">
        <v>16151.619568057042</v>
      </c>
      <c r="K8" s="14">
        <v>16151.619568057042</v>
      </c>
      <c r="L8" s="14">
        <v>16151.619568057042</v>
      </c>
      <c r="M8" s="14">
        <v>16151.619568057042</v>
      </c>
      <c r="N8" s="14">
        <v>16151.619568057042</v>
      </c>
      <c r="O8" s="14">
        <v>16151.619568057042</v>
      </c>
      <c r="P8" s="14">
        <v>16151.619568057042</v>
      </c>
      <c r="Q8" s="14">
        <v>16151.619568057042</v>
      </c>
      <c r="R8" s="14">
        <v>16151.619568057042</v>
      </c>
      <c r="S8" s="62">
        <v>16151.619568057042</v>
      </c>
      <c r="T8" s="58">
        <f>SUM(C8:S8)</f>
        <v>274577.53265696968</v>
      </c>
      <c r="U8" s="50">
        <f>B8-T8</f>
        <v>461837.26551239792</v>
      </c>
    </row>
    <row r="9" spans="1:22" ht="15" customHeight="1" x14ac:dyDescent="0.25">
      <c r="A9" s="57"/>
    </row>
    <row r="10" spans="1:22" ht="15" customHeight="1" x14ac:dyDescent="0.25">
      <c r="A10" s="57"/>
    </row>
    <row r="11" spans="1:22" ht="15" customHeight="1" x14ac:dyDescent="0.25">
      <c r="A11" s="57"/>
    </row>
    <row r="15" spans="1:22" s="16" customFormat="1" x14ac:dyDescent="0.25"/>
    <row r="16" spans="1:22" s="16" customFormat="1" x14ac:dyDescent="0.25"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</row>
    <row r="17" spans="2:19" s="16" customFormat="1" x14ac:dyDescent="0.25"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</row>
    <row r="20" spans="2:19" x14ac:dyDescent="0.25">
      <c r="B20" s="16"/>
    </row>
    <row r="23" spans="2:19" x14ac:dyDescent="0.25">
      <c r="B23" s="16"/>
    </row>
    <row r="27" spans="2:19" s="16" customFormat="1" x14ac:dyDescent="0.25"/>
    <row r="30" spans="2:19" s="16" customFormat="1" x14ac:dyDescent="0.25"/>
    <row r="31" spans="2:19" x14ac:dyDescent="0.25">
      <c r="B31" s="19"/>
    </row>
    <row r="34" s="16" customFormat="1" x14ac:dyDescent="0.25"/>
    <row r="38" s="16" customFormat="1" x14ac:dyDescent="0.25"/>
  </sheetData>
  <mergeCells count="1">
    <mergeCell ref="C4:N4"/>
  </mergeCells>
  <pageMargins left="0.25" right="0.25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A66E3-E281-49D1-998C-F9BAF3D6700F}">
  <sheetPr>
    <pageSetUpPr fitToPage="1"/>
  </sheetPr>
  <dimension ref="A1:CP62"/>
  <sheetViews>
    <sheetView topLeftCell="A27" workbookViewId="0">
      <selection activeCell="U61" sqref="U61"/>
    </sheetView>
  </sheetViews>
  <sheetFormatPr defaultRowHeight="15" x14ac:dyDescent="0.25"/>
  <cols>
    <col min="1" max="1" width="46.28515625" customWidth="1"/>
    <col min="2" max="2" width="16.42578125" style="35" bestFit="1" customWidth="1"/>
    <col min="3" max="3" width="16.42578125" bestFit="1" customWidth="1"/>
    <col min="18" max="18" width="9.140625" style="6" customWidth="1"/>
  </cols>
  <sheetData>
    <row r="1" spans="1:94" ht="18.75" x14ac:dyDescent="0.3">
      <c r="A1" s="5" t="s">
        <v>50</v>
      </c>
    </row>
    <row r="3" spans="1:94" x14ac:dyDescent="0.25">
      <c r="A3" s="21"/>
      <c r="B3" s="36"/>
      <c r="C3" s="22"/>
      <c r="D3" s="22"/>
      <c r="E3" s="21">
        <v>2010</v>
      </c>
      <c r="F3" s="21">
        <v>2011</v>
      </c>
      <c r="G3" s="21">
        <v>2012</v>
      </c>
      <c r="H3" s="21">
        <v>2013</v>
      </c>
      <c r="I3" s="21">
        <v>2014</v>
      </c>
      <c r="J3" s="21">
        <v>2015</v>
      </c>
      <c r="K3" s="21">
        <v>2016</v>
      </c>
      <c r="L3" s="23">
        <v>2017</v>
      </c>
      <c r="M3" s="23">
        <v>2018</v>
      </c>
      <c r="N3" s="23">
        <v>2019</v>
      </c>
      <c r="O3" s="23">
        <v>2020</v>
      </c>
      <c r="P3" s="23">
        <v>2021</v>
      </c>
      <c r="Q3" s="23">
        <v>2022</v>
      </c>
      <c r="R3" s="23">
        <v>2023</v>
      </c>
      <c r="S3" s="23" t="s">
        <v>54</v>
      </c>
      <c r="T3" s="23">
        <v>2025</v>
      </c>
      <c r="U3" s="23">
        <v>2026</v>
      </c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</row>
    <row r="4" spans="1:94" x14ac:dyDescent="0.25">
      <c r="A4" s="24"/>
      <c r="B4" s="37"/>
      <c r="C4" s="67"/>
      <c r="D4" s="69" t="s">
        <v>19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</row>
    <row r="5" spans="1:94" x14ac:dyDescent="0.25">
      <c r="A5" s="25"/>
      <c r="B5" s="38"/>
      <c r="C5" s="16"/>
      <c r="D5" s="16"/>
      <c r="E5" s="25"/>
      <c r="F5" s="25"/>
      <c r="G5" s="25"/>
      <c r="H5" s="25"/>
      <c r="I5" s="25"/>
      <c r="J5" s="25"/>
      <c r="K5" s="25"/>
      <c r="L5" s="16"/>
      <c r="M5" s="25"/>
      <c r="N5" s="25"/>
      <c r="O5" s="16"/>
      <c r="P5" s="16"/>
      <c r="Q5" s="16"/>
      <c r="R5" s="14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</row>
    <row r="6" spans="1:94" x14ac:dyDescent="0.25">
      <c r="A6" s="26">
        <v>2017</v>
      </c>
      <c r="B6" s="39" t="s">
        <v>36</v>
      </c>
      <c r="C6" s="27" t="s">
        <v>40</v>
      </c>
      <c r="D6" s="27" t="s">
        <v>20</v>
      </c>
      <c r="E6" s="25"/>
      <c r="F6" s="25"/>
      <c r="G6" s="25"/>
      <c r="H6" s="25"/>
      <c r="I6" s="25"/>
      <c r="J6" s="25"/>
      <c r="K6" s="25"/>
      <c r="L6" s="16"/>
      <c r="M6" s="25"/>
      <c r="N6" s="25"/>
      <c r="O6" s="16"/>
      <c r="P6" s="16"/>
      <c r="Q6" s="16"/>
      <c r="R6" s="1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</row>
    <row r="7" spans="1:94" x14ac:dyDescent="0.25">
      <c r="A7" s="28" t="s">
        <v>21</v>
      </c>
      <c r="B7" s="41">
        <f>793+596</f>
        <v>1389</v>
      </c>
      <c r="C7" s="14">
        <f>B7*Pristalsregulsering!C12*Pristalsregulsering!C13*Pristalsregulsering!C14*Pristalsregulsering!C15*Pristalsregulsering!C16*Pristalsregulsering!C17*Pristalsregulsering!C18*Pristalsregulsering!C19*Pristalsregulsering!C20</f>
        <v>1894.003039751778</v>
      </c>
      <c r="D7" s="29">
        <v>8</v>
      </c>
      <c r="E7" s="45"/>
      <c r="L7" s="14">
        <f>C7/D7</f>
        <v>236.75037996897225</v>
      </c>
      <c r="M7" s="14">
        <f>C7/D7</f>
        <v>236.75037996897225</v>
      </c>
      <c r="N7" s="14">
        <f>C7/D7</f>
        <v>236.75037996897225</v>
      </c>
      <c r="O7" s="14">
        <f>C7/D7</f>
        <v>236.75037996897225</v>
      </c>
      <c r="P7" s="14">
        <f>C7/D7</f>
        <v>236.75037996897225</v>
      </c>
      <c r="Q7" s="14">
        <f>C7/D7</f>
        <v>236.75037996897225</v>
      </c>
      <c r="R7" s="14">
        <f>C7/D7</f>
        <v>236.75037996897225</v>
      </c>
      <c r="S7" s="14">
        <f>C7/D7</f>
        <v>236.75037996897225</v>
      </c>
      <c r="T7" s="14">
        <v>0</v>
      </c>
      <c r="U7" s="14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</row>
    <row r="8" spans="1:94" x14ac:dyDescent="0.25">
      <c r="A8" s="28" t="s">
        <v>22</v>
      </c>
      <c r="B8" s="41">
        <v>0</v>
      </c>
      <c r="C8" s="14">
        <f>B8*Pristalsregulsering!C12*Pristalsregulsering!C13*Pristalsregulsering!C14*Pristalsregulsering!C15*Pristalsregulsering!C16*Pristalsregulsering!C17*Pristalsregulsering!C18*Pristalsregulsering!C19*Pristalsregulsering!C20</f>
        <v>0</v>
      </c>
      <c r="D8" s="29">
        <v>75</v>
      </c>
      <c r="E8" s="45"/>
      <c r="L8" s="44">
        <f>C8/D8</f>
        <v>0</v>
      </c>
      <c r="M8" s="44">
        <f>C8/D8</f>
        <v>0</v>
      </c>
      <c r="N8" s="44">
        <f>C8/D8</f>
        <v>0</v>
      </c>
      <c r="O8" s="44">
        <f>C8/D8</f>
        <v>0</v>
      </c>
      <c r="P8" s="44">
        <f>C8/D8</f>
        <v>0</v>
      </c>
      <c r="Q8" s="44">
        <f>C8/D8</f>
        <v>0</v>
      </c>
      <c r="R8" s="44">
        <f>C8/D8</f>
        <v>0</v>
      </c>
      <c r="S8" s="44">
        <f>C8/D8</f>
        <v>0</v>
      </c>
      <c r="T8" s="44">
        <f>C8/D8</f>
        <v>0</v>
      </c>
      <c r="U8" s="44">
        <f>C8/D8</f>
        <v>0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</row>
    <row r="9" spans="1:94" x14ac:dyDescent="0.25">
      <c r="A9" s="25"/>
      <c r="B9" s="40">
        <f>SUM(B7)</f>
        <v>1389</v>
      </c>
      <c r="C9" s="31">
        <f>SUM(C7)</f>
        <v>1894.003039751778</v>
      </c>
      <c r="D9" s="16"/>
      <c r="L9" s="16">
        <f>SUM(L7:L8)</f>
        <v>236.75037996897225</v>
      </c>
      <c r="M9" s="16">
        <f t="shared" ref="M9:Q9" si="0">SUM(M7:M8)</f>
        <v>236.75037996897225</v>
      </c>
      <c r="N9" s="16">
        <f t="shared" si="0"/>
        <v>236.75037996897225</v>
      </c>
      <c r="O9" s="16">
        <f t="shared" si="0"/>
        <v>236.75037996897225</v>
      </c>
      <c r="P9" s="16">
        <f t="shared" si="0"/>
        <v>236.75037996897225</v>
      </c>
      <c r="Q9" s="16">
        <f t="shared" si="0"/>
        <v>236.75037996897225</v>
      </c>
      <c r="R9" s="16">
        <f>SUM(R7:R8)</f>
        <v>236.75037996897225</v>
      </c>
      <c r="S9" s="16">
        <f>SUM(S7:S8)</f>
        <v>236.75037996897225</v>
      </c>
      <c r="T9" s="16">
        <f t="shared" ref="T9:U9" si="1">SUM(T7:T8)</f>
        <v>0</v>
      </c>
      <c r="U9" s="16">
        <f t="shared" si="1"/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</row>
    <row r="10" spans="1:94" x14ac:dyDescent="0.25">
      <c r="S10" s="6"/>
    </row>
    <row r="11" spans="1:94" x14ac:dyDescent="0.25">
      <c r="A11" s="26">
        <v>2018</v>
      </c>
      <c r="B11" s="39" t="s">
        <v>36</v>
      </c>
      <c r="C11" s="27" t="s">
        <v>40</v>
      </c>
      <c r="D11" s="27" t="s">
        <v>20</v>
      </c>
      <c r="S11" s="6"/>
    </row>
    <row r="12" spans="1:94" x14ac:dyDescent="0.25">
      <c r="A12" s="28" t="s">
        <v>21</v>
      </c>
      <c r="B12" s="41">
        <v>650</v>
      </c>
      <c r="C12" s="14">
        <f>B12*Pristalsregulsering!C13*Pristalsregulsering!C14*Pristalsregulsering!C15*Pristalsregulsering!C16*Pristalsregulsering!C17*Pristalsregulsering!C18*Pristalsregulsering!C19*Pristalsregulsering!C20</f>
        <v>871.07864059212568</v>
      </c>
      <c r="D12" s="29">
        <v>8</v>
      </c>
      <c r="E12" s="45"/>
      <c r="H12" s="14"/>
      <c r="I12" s="14"/>
      <c r="M12" s="14">
        <f>C12/D12</f>
        <v>108.88483007401571</v>
      </c>
      <c r="N12" s="14">
        <f>C12/D12</f>
        <v>108.88483007401571</v>
      </c>
      <c r="O12" s="14">
        <f>C12/D12</f>
        <v>108.88483007401571</v>
      </c>
      <c r="P12" s="14">
        <f>C12/D12</f>
        <v>108.88483007401571</v>
      </c>
      <c r="Q12" s="14">
        <f>C12/D12</f>
        <v>108.88483007401571</v>
      </c>
      <c r="R12" s="14">
        <f>C12/D12</f>
        <v>108.88483007401571</v>
      </c>
      <c r="S12" s="14">
        <f>C12/D12</f>
        <v>108.88483007401571</v>
      </c>
      <c r="T12" s="6">
        <f>C12/D12</f>
        <v>108.88483007401571</v>
      </c>
      <c r="U12" s="6">
        <v>0</v>
      </c>
      <c r="V12" s="6"/>
    </row>
    <row r="13" spans="1:94" x14ac:dyDescent="0.25">
      <c r="A13" s="28" t="s">
        <v>22</v>
      </c>
      <c r="B13" s="41">
        <v>135484</v>
      </c>
      <c r="C13" s="14">
        <f>B13*Pristalsregulsering!C13*Pristalsregulsering!C14*Pristalsregulsering!C15*Pristalsregulsering!C16*Pristalsregulsering!C17*Pristalsregulsering!C18*Pristalsregulsering!C19*Pristalsregulsering!C20</f>
        <v>181564.9516030516</v>
      </c>
      <c r="D13" s="29">
        <v>75</v>
      </c>
      <c r="E13" s="45"/>
      <c r="H13" s="14"/>
      <c r="I13" s="14"/>
      <c r="M13" s="44">
        <f>C13/D13</f>
        <v>2420.8660213740213</v>
      </c>
      <c r="N13" s="44">
        <f>C13/D13</f>
        <v>2420.8660213740213</v>
      </c>
      <c r="O13" s="44">
        <f>C13/D13</f>
        <v>2420.8660213740213</v>
      </c>
      <c r="P13" s="44">
        <f>C13/D13</f>
        <v>2420.8660213740213</v>
      </c>
      <c r="Q13" s="44">
        <f>C13/D13</f>
        <v>2420.8660213740213</v>
      </c>
      <c r="R13" s="44">
        <f>C13/D13</f>
        <v>2420.8660213740213</v>
      </c>
      <c r="S13" s="44">
        <f>C13/D13</f>
        <v>2420.8660213740213</v>
      </c>
      <c r="T13" s="11">
        <f>C13/D13</f>
        <v>2420.8660213740213</v>
      </c>
      <c r="U13" s="11">
        <f>C13/D13</f>
        <v>2420.8660213740213</v>
      </c>
    </row>
    <row r="14" spans="1:94" x14ac:dyDescent="0.25">
      <c r="A14" s="28"/>
      <c r="B14" s="40">
        <f>SUM(B12:B13)</f>
        <v>136134</v>
      </c>
      <c r="C14" s="31">
        <f>SUM(C12:C13)</f>
        <v>182436.03024364373</v>
      </c>
      <c r="E14" s="14"/>
      <c r="H14" s="16"/>
      <c r="M14" s="16">
        <f t="shared" ref="M14:N14" si="2">SUM(M12:M13)</f>
        <v>2529.7508514480369</v>
      </c>
      <c r="N14" s="16">
        <f t="shared" si="2"/>
        <v>2529.7508514480369</v>
      </c>
      <c r="O14" s="16">
        <f>SUM(O12:O13)</f>
        <v>2529.7508514480369</v>
      </c>
      <c r="P14" s="16">
        <f t="shared" ref="P14:R14" si="3">SUM(P12:P13)</f>
        <v>2529.7508514480369</v>
      </c>
      <c r="Q14" s="16">
        <f t="shared" si="3"/>
        <v>2529.7508514480369</v>
      </c>
      <c r="R14" s="8">
        <f t="shared" si="3"/>
        <v>2529.7508514480369</v>
      </c>
      <c r="S14" s="8">
        <f t="shared" ref="S14:U14" si="4">SUM(S12:S13)</f>
        <v>2529.7508514480369</v>
      </c>
      <c r="T14" s="8">
        <f t="shared" si="4"/>
        <v>2529.7508514480369</v>
      </c>
      <c r="U14" s="8">
        <f t="shared" si="4"/>
        <v>2420.8660213740213</v>
      </c>
    </row>
    <row r="15" spans="1:94" x14ac:dyDescent="0.25">
      <c r="E15" s="14"/>
      <c r="F15" s="14"/>
      <c r="S15" s="6"/>
    </row>
    <row r="16" spans="1:94" x14ac:dyDescent="0.25">
      <c r="A16" s="26">
        <v>2019</v>
      </c>
      <c r="B16" s="39" t="s">
        <v>36</v>
      </c>
      <c r="C16" s="27" t="s">
        <v>40</v>
      </c>
      <c r="D16" s="27" t="s">
        <v>20</v>
      </c>
      <c r="E16" s="32"/>
      <c r="F16" s="32"/>
      <c r="G16" s="32"/>
      <c r="H16" s="32"/>
      <c r="I16" s="32"/>
      <c r="J16" s="32"/>
      <c r="K16" s="32"/>
      <c r="L16" s="16"/>
      <c r="M16" s="32"/>
      <c r="N16" s="32"/>
      <c r="O16" s="16"/>
      <c r="P16" s="16"/>
      <c r="Q16" s="16"/>
      <c r="S16" s="6"/>
    </row>
    <row r="17" spans="1:22" x14ac:dyDescent="0.25">
      <c r="A17" s="28" t="s">
        <v>37</v>
      </c>
      <c r="B17" s="41">
        <v>659</v>
      </c>
      <c r="C17" s="14">
        <f>B17*Pristalsregulsering!C14*Pristalsregulsering!C15*Pristalsregulsering!C16*Pristalsregulsering!C17*Pristalsregulsering!C18*Pristalsregulsering!C19*Pristalsregulsering!C20</f>
        <v>868.46270966846566</v>
      </c>
      <c r="D17" s="29">
        <v>8</v>
      </c>
      <c r="E17" s="45"/>
      <c r="F17" s="30"/>
      <c r="G17" s="30"/>
      <c r="H17" s="30"/>
      <c r="I17" s="30"/>
      <c r="J17" s="30"/>
      <c r="K17" s="30"/>
      <c r="M17" s="30"/>
      <c r="N17" s="14">
        <f>C17/D17</f>
        <v>108.55783870855821</v>
      </c>
      <c r="O17" s="14">
        <f>C17/D17</f>
        <v>108.55783870855821</v>
      </c>
      <c r="P17" s="14">
        <f>C17/D17</f>
        <v>108.55783870855821</v>
      </c>
      <c r="Q17" s="14">
        <f>C17/D17</f>
        <v>108.55783870855821</v>
      </c>
      <c r="R17" s="6">
        <f>C17/D17</f>
        <v>108.55783870855821</v>
      </c>
      <c r="S17" s="14">
        <f>C17/D17</f>
        <v>108.55783870855821</v>
      </c>
      <c r="T17" s="6">
        <f>C17/D17</f>
        <v>108.55783870855821</v>
      </c>
      <c r="U17" s="6">
        <f>C17/D17</f>
        <v>108.55783870855821</v>
      </c>
      <c r="V17" s="6"/>
    </row>
    <row r="18" spans="1:22" x14ac:dyDescent="0.25">
      <c r="A18" s="28" t="s">
        <v>22</v>
      </c>
      <c r="B18" s="41">
        <v>0</v>
      </c>
      <c r="C18" s="14">
        <f>B18*Pristalsregulsering!C14*Pristalsregulsering!C15*Pristalsregulsering!C16*Pristalsregulsering!C17*Pristalsregulsering!C18*Pristalsregulsering!C19*Pristalsregulsering!C20</f>
        <v>0</v>
      </c>
      <c r="D18" s="29">
        <v>75</v>
      </c>
      <c r="E18" s="45"/>
      <c r="F18" s="30"/>
      <c r="G18" s="30"/>
      <c r="H18" s="30"/>
      <c r="I18" s="30"/>
      <c r="J18" s="30"/>
      <c r="K18" s="30"/>
      <c r="M18" s="30"/>
      <c r="N18" s="44">
        <f>C18/D18</f>
        <v>0</v>
      </c>
      <c r="O18" s="44">
        <f>C18/D18</f>
        <v>0</v>
      </c>
      <c r="P18" s="44">
        <f>C18/D18</f>
        <v>0</v>
      </c>
      <c r="Q18" s="44">
        <f>C18/D18</f>
        <v>0</v>
      </c>
      <c r="R18" s="11">
        <f>C18/D18</f>
        <v>0</v>
      </c>
      <c r="S18" s="44">
        <f>C18/D18</f>
        <v>0</v>
      </c>
      <c r="T18" s="68">
        <f>C18/D18</f>
        <v>0</v>
      </c>
      <c r="U18" s="68">
        <f>C18/D18</f>
        <v>0</v>
      </c>
    </row>
    <row r="19" spans="1:22" x14ac:dyDescent="0.25">
      <c r="B19" s="40">
        <f>SUM(B17:B18)</f>
        <v>659</v>
      </c>
      <c r="C19" s="31">
        <f>SUM(C17:C18)</f>
        <v>868.46270966846566</v>
      </c>
      <c r="N19" s="16">
        <f t="shared" ref="N19:U19" si="5">SUM(N17:N18)</f>
        <v>108.55783870855821</v>
      </c>
      <c r="O19" s="16">
        <f t="shared" si="5"/>
        <v>108.55783870855821</v>
      </c>
      <c r="P19" s="16">
        <f t="shared" si="5"/>
        <v>108.55783870855821</v>
      </c>
      <c r="Q19" s="16">
        <f t="shared" si="5"/>
        <v>108.55783870855821</v>
      </c>
      <c r="R19" s="8">
        <f t="shared" si="5"/>
        <v>108.55783870855821</v>
      </c>
      <c r="S19" s="8">
        <f t="shared" si="5"/>
        <v>108.55783870855821</v>
      </c>
      <c r="T19" s="8">
        <f t="shared" si="5"/>
        <v>108.55783870855821</v>
      </c>
      <c r="U19" s="8">
        <f t="shared" si="5"/>
        <v>108.55783870855821</v>
      </c>
    </row>
    <row r="20" spans="1:22" x14ac:dyDescent="0.25">
      <c r="B20" s="38"/>
      <c r="C20" s="16"/>
      <c r="N20" s="16"/>
      <c r="O20" s="16"/>
      <c r="P20" s="16"/>
      <c r="Q20" s="16"/>
      <c r="R20" s="8"/>
      <c r="S20" s="8"/>
    </row>
    <row r="21" spans="1:22" x14ac:dyDescent="0.25">
      <c r="A21" s="26">
        <v>2020</v>
      </c>
      <c r="B21" s="39" t="s">
        <v>36</v>
      </c>
      <c r="C21" s="27" t="s">
        <v>40</v>
      </c>
      <c r="D21" s="27" t="s">
        <v>20</v>
      </c>
      <c r="E21" s="32"/>
      <c r="F21" s="32"/>
      <c r="G21" s="32"/>
      <c r="H21" s="32"/>
      <c r="I21" s="32"/>
      <c r="J21" s="32"/>
      <c r="K21" s="32"/>
      <c r="L21" s="16"/>
      <c r="M21" s="32"/>
      <c r="N21" s="32"/>
      <c r="O21" s="16"/>
      <c r="P21" s="16"/>
      <c r="Q21" s="16"/>
      <c r="S21" s="6"/>
    </row>
    <row r="22" spans="1:22" x14ac:dyDescent="0.25">
      <c r="A22" s="28" t="s">
        <v>37</v>
      </c>
      <c r="B22" s="41">
        <v>0</v>
      </c>
      <c r="C22" s="14">
        <f>B22*Pristalsregulsering!C15*Pristalsregulsering!C16*Pristalsregulsering!C17*Pristalsregulsering!C18*Pristalsregulsering!C19*Pristalsregulsering!C20</f>
        <v>0</v>
      </c>
      <c r="D22" s="29">
        <v>8</v>
      </c>
      <c r="E22" s="45"/>
      <c r="F22" s="30"/>
      <c r="G22" s="30"/>
      <c r="H22" s="30"/>
      <c r="I22" s="30"/>
      <c r="J22" s="30"/>
      <c r="K22" s="30"/>
      <c r="M22" s="30"/>
      <c r="N22" s="14"/>
      <c r="O22" s="14">
        <f>C22/D22</f>
        <v>0</v>
      </c>
      <c r="P22" s="14">
        <f>C22/D22</f>
        <v>0</v>
      </c>
      <c r="Q22" s="14">
        <f>C22/D22</f>
        <v>0</v>
      </c>
      <c r="R22" s="6">
        <f>C22/D22</f>
        <v>0</v>
      </c>
      <c r="S22" s="14">
        <f>C22/D22</f>
        <v>0</v>
      </c>
      <c r="T22">
        <f>C22/D22</f>
        <v>0</v>
      </c>
      <c r="U22">
        <f>C22/D22</f>
        <v>0</v>
      </c>
    </row>
    <row r="23" spans="1:22" x14ac:dyDescent="0.25">
      <c r="A23" s="28" t="s">
        <v>22</v>
      </c>
      <c r="B23" s="41">
        <v>0</v>
      </c>
      <c r="C23" s="14">
        <f>B23*Pristalsregulsering!C15*Pristalsregulsering!C16*Pristalsregulsering!C17*Pristalsregulsering!C18*Pristalsregulsering!C19*Pristalsregulsering!C20</f>
        <v>0</v>
      </c>
      <c r="D23" s="29">
        <v>75</v>
      </c>
      <c r="E23" s="45"/>
      <c r="F23" s="30"/>
      <c r="G23" s="30"/>
      <c r="H23" s="30"/>
      <c r="I23" s="30"/>
      <c r="J23" s="30"/>
      <c r="K23" s="30"/>
      <c r="M23" s="30"/>
      <c r="N23" s="14"/>
      <c r="O23" s="44">
        <f>C23/D23</f>
        <v>0</v>
      </c>
      <c r="P23" s="44">
        <f>C23/D23</f>
        <v>0</v>
      </c>
      <c r="Q23" s="44">
        <f>C23/D23</f>
        <v>0</v>
      </c>
      <c r="R23" s="11">
        <f>C23/D23</f>
        <v>0</v>
      </c>
      <c r="S23" s="44">
        <f>C23/D23</f>
        <v>0</v>
      </c>
      <c r="T23" s="68">
        <f>C23/D23</f>
        <v>0</v>
      </c>
      <c r="U23" s="68">
        <f>C23/D23</f>
        <v>0</v>
      </c>
    </row>
    <row r="24" spans="1:22" x14ac:dyDescent="0.25">
      <c r="B24" s="40">
        <f>SUM(B22:B23)</f>
        <v>0</v>
      </c>
      <c r="C24" s="31">
        <f>SUM(C22:C23)</f>
        <v>0</v>
      </c>
      <c r="N24" s="16"/>
      <c r="O24" s="16">
        <f>SUM(O22:O23)</f>
        <v>0</v>
      </c>
      <c r="P24" s="16">
        <f>SUM(P22:P23)</f>
        <v>0</v>
      </c>
      <c r="Q24" s="16">
        <f>SUM(Q22:Q23)</f>
        <v>0</v>
      </c>
      <c r="R24" s="8">
        <f>SUM(R22:R23)</f>
        <v>0</v>
      </c>
      <c r="S24" s="8">
        <f>SUM(S22:S23)</f>
        <v>0</v>
      </c>
      <c r="T24" s="8">
        <f t="shared" ref="T24:U24" si="6">SUM(T22:T23)</f>
        <v>0</v>
      </c>
      <c r="U24" s="8">
        <f t="shared" si="6"/>
        <v>0</v>
      </c>
    </row>
    <row r="25" spans="1:22" x14ac:dyDescent="0.25">
      <c r="S25" s="6"/>
    </row>
    <row r="26" spans="1:22" x14ac:dyDescent="0.25">
      <c r="A26" s="26">
        <v>2021</v>
      </c>
      <c r="B26" s="39" t="s">
        <v>36</v>
      </c>
      <c r="C26" s="27" t="s">
        <v>40</v>
      </c>
      <c r="D26" s="27" t="s">
        <v>20</v>
      </c>
      <c r="S26" s="6"/>
    </row>
    <row r="27" spans="1:22" x14ac:dyDescent="0.25">
      <c r="A27" s="28" t="s">
        <v>37</v>
      </c>
      <c r="B27" s="41">
        <f>809+355.5</f>
        <v>1164.5</v>
      </c>
      <c r="C27" s="14">
        <f>B27*Pristalsregulsering!C16*Pristalsregulsering!C17*Pristalsregulsering!C18*Pristalsregulsering!C19*Pristalsregulsering!C20</f>
        <v>1486.8477545435092</v>
      </c>
      <c r="D27" s="29">
        <v>8</v>
      </c>
      <c r="E27" s="45"/>
      <c r="P27" s="14">
        <f>C27/D27</f>
        <v>185.85596931793864</v>
      </c>
      <c r="Q27" s="14">
        <f>C27/D27</f>
        <v>185.85596931793864</v>
      </c>
      <c r="R27" s="6">
        <f>C27/D27</f>
        <v>185.85596931793864</v>
      </c>
      <c r="S27" s="14">
        <f>C27/D27</f>
        <v>185.85596931793864</v>
      </c>
      <c r="T27" s="6">
        <f>C27/D27</f>
        <v>185.85596931793864</v>
      </c>
      <c r="U27" s="6">
        <f>C27/D27</f>
        <v>185.85596931793864</v>
      </c>
    </row>
    <row r="28" spans="1:22" x14ac:dyDescent="0.25">
      <c r="A28" s="28" t="s">
        <v>22</v>
      </c>
      <c r="B28" s="41">
        <v>0</v>
      </c>
      <c r="C28" s="14">
        <f>B28*Pristalsregulsering!C16*Pristalsregulsering!C17*Pristalsregulsering!C18*Pristalsregulsering!C19*Pristalsregulsering!C20</f>
        <v>0</v>
      </c>
      <c r="D28" s="29">
        <v>75</v>
      </c>
      <c r="E28" s="45"/>
      <c r="P28" s="44">
        <f>C28/D28</f>
        <v>0</v>
      </c>
      <c r="Q28" s="44">
        <f>C28/D28</f>
        <v>0</v>
      </c>
      <c r="R28" s="11">
        <f>C28/D28</f>
        <v>0</v>
      </c>
      <c r="S28" s="44">
        <f>C28/D28</f>
        <v>0</v>
      </c>
      <c r="T28" s="68">
        <f>C28/D28</f>
        <v>0</v>
      </c>
      <c r="U28" s="68">
        <f>C28/D28</f>
        <v>0</v>
      </c>
    </row>
    <row r="29" spans="1:22" x14ac:dyDescent="0.25">
      <c r="B29" s="40">
        <f>SUM(B27:B28)</f>
        <v>1164.5</v>
      </c>
      <c r="C29" s="31">
        <f>SUM(C27:C28)</f>
        <v>1486.8477545435092</v>
      </c>
      <c r="O29" s="16"/>
      <c r="P29" s="16">
        <f>SUM(P27:P28)</f>
        <v>185.85596931793864</v>
      </c>
      <c r="Q29" s="16">
        <f>SUM(Q27:Q28)</f>
        <v>185.85596931793864</v>
      </c>
      <c r="R29" s="8">
        <f>SUM(R27:R28)</f>
        <v>185.85596931793864</v>
      </c>
      <c r="S29" s="8">
        <f>SUM(S27:S28)</f>
        <v>185.85596931793864</v>
      </c>
      <c r="T29" s="8">
        <f t="shared" ref="T29:U29" si="7">SUM(T27:T28)</f>
        <v>185.85596931793864</v>
      </c>
      <c r="U29" s="8">
        <f t="shared" si="7"/>
        <v>185.85596931793864</v>
      </c>
    </row>
    <row r="30" spans="1:22" x14ac:dyDescent="0.25">
      <c r="S30" s="6"/>
    </row>
    <row r="31" spans="1:22" x14ac:dyDescent="0.25">
      <c r="A31" s="26">
        <v>2022</v>
      </c>
      <c r="B31" s="39" t="s">
        <v>36</v>
      </c>
      <c r="C31" s="27" t="s">
        <v>40</v>
      </c>
      <c r="D31" s="27" t="s">
        <v>20</v>
      </c>
      <c r="S31" s="6"/>
    </row>
    <row r="32" spans="1:22" x14ac:dyDescent="0.25">
      <c r="A32" s="28" t="s">
        <v>37</v>
      </c>
      <c r="B32" s="42">
        <v>0</v>
      </c>
      <c r="C32" s="15">
        <f>B32*Pristalsregulsering!C17*Pristalsregulsering!C18*Pristalsregulsering!C19*Pristalsregulsering!C20</f>
        <v>0</v>
      </c>
      <c r="D32" s="29">
        <v>8</v>
      </c>
      <c r="E32" s="45"/>
      <c r="Q32" s="14">
        <f>C32/D32</f>
        <v>0</v>
      </c>
      <c r="R32" s="6">
        <f>C32/D32</f>
        <v>0</v>
      </c>
      <c r="S32" s="14">
        <f>C32/D32</f>
        <v>0</v>
      </c>
      <c r="T32">
        <f>C32/D32</f>
        <v>0</v>
      </c>
      <c r="U32">
        <f>C32/D32</f>
        <v>0</v>
      </c>
    </row>
    <row r="33" spans="1:21" x14ac:dyDescent="0.25">
      <c r="A33" s="28" t="s">
        <v>22</v>
      </c>
      <c r="B33" s="42">
        <v>0</v>
      </c>
      <c r="C33" s="15">
        <f>B33*Pristalsregulsering!C17*Pristalsregulsering!C18*Pristalsregulsering!C19*Pristalsregulsering!C20</f>
        <v>0</v>
      </c>
      <c r="D33" s="29">
        <v>75</v>
      </c>
      <c r="E33" s="45"/>
      <c r="Q33" s="44">
        <f>C33/D33</f>
        <v>0</v>
      </c>
      <c r="R33" s="11">
        <f>C33/D33</f>
        <v>0</v>
      </c>
      <c r="S33" s="44">
        <f>C33/D33</f>
        <v>0</v>
      </c>
      <c r="T33" s="68">
        <f>C33/D33</f>
        <v>0</v>
      </c>
      <c r="U33" s="68">
        <f>C33/D33</f>
        <v>0</v>
      </c>
    </row>
    <row r="34" spans="1:21" x14ac:dyDescent="0.25">
      <c r="B34" s="40">
        <f>SUM(B32:B33)</f>
        <v>0</v>
      </c>
      <c r="C34" s="31">
        <f>SUM(C32:C33)</f>
        <v>0</v>
      </c>
      <c r="P34" s="16"/>
      <c r="Q34" s="16">
        <f>SUM(Q32:Q33)</f>
        <v>0</v>
      </c>
      <c r="R34" s="8">
        <f>SUM(R32:R33)</f>
        <v>0</v>
      </c>
      <c r="S34" s="8">
        <f>SUM(S32:S33)</f>
        <v>0</v>
      </c>
      <c r="T34" s="8">
        <f t="shared" ref="T34" si="8">SUM(T32:T33)</f>
        <v>0</v>
      </c>
      <c r="U34" s="8">
        <f>SUM(U32:U33)</f>
        <v>0</v>
      </c>
    </row>
    <row r="35" spans="1:21" x14ac:dyDescent="0.25">
      <c r="B35" s="38"/>
      <c r="C35" s="16"/>
      <c r="P35" s="16"/>
      <c r="Q35" s="16"/>
      <c r="R35" s="8"/>
      <c r="S35" s="8"/>
    </row>
    <row r="36" spans="1:21" x14ac:dyDescent="0.25">
      <c r="A36" s="26">
        <v>2023</v>
      </c>
      <c r="B36" s="39" t="s">
        <v>36</v>
      </c>
      <c r="C36" s="27" t="s">
        <v>40</v>
      </c>
      <c r="D36" s="27" t="s">
        <v>20</v>
      </c>
      <c r="S36" s="6"/>
    </row>
    <row r="37" spans="1:21" x14ac:dyDescent="0.25">
      <c r="A37" s="28" t="s">
        <v>37</v>
      </c>
      <c r="B37" s="42">
        <v>0</v>
      </c>
      <c r="C37" s="15">
        <f>B37*Pristalsregulsering!C18*Pristalsregulsering!C19*Pristalsregulsering!C20</f>
        <v>0</v>
      </c>
      <c r="D37" s="29">
        <v>8</v>
      </c>
      <c r="E37" s="45"/>
      <c r="Q37" s="14"/>
      <c r="R37" s="6">
        <f>C37/D37</f>
        <v>0</v>
      </c>
      <c r="S37" s="14">
        <f>C37/D37</f>
        <v>0</v>
      </c>
      <c r="T37">
        <f>C37/D37</f>
        <v>0</v>
      </c>
      <c r="U37">
        <f>C37/D37</f>
        <v>0</v>
      </c>
    </row>
    <row r="38" spans="1:21" x14ac:dyDescent="0.25">
      <c r="A38" s="28" t="s">
        <v>22</v>
      </c>
      <c r="B38" s="42">
        <v>0</v>
      </c>
      <c r="C38" s="15">
        <f>B38*Pristalsregulsering!C18*Pristalsregulsering!C19*Pristalsregulsering!C20</f>
        <v>0</v>
      </c>
      <c r="D38" s="29">
        <v>75</v>
      </c>
      <c r="E38" s="45"/>
      <c r="Q38" s="14"/>
      <c r="R38" s="11">
        <f>C38/D38</f>
        <v>0</v>
      </c>
      <c r="S38" s="44">
        <f>C38/D38</f>
        <v>0</v>
      </c>
      <c r="T38" s="68">
        <f>C38/D38</f>
        <v>0</v>
      </c>
      <c r="U38" s="68">
        <f>C38/D38</f>
        <v>0</v>
      </c>
    </row>
    <row r="39" spans="1:21" x14ac:dyDescent="0.25">
      <c r="B39" s="40">
        <f>SUM(B37:B38)</f>
        <v>0</v>
      </c>
      <c r="C39" s="31">
        <f>SUM(C37:C38)</f>
        <v>0</v>
      </c>
      <c r="P39" s="16"/>
      <c r="Q39" s="16"/>
      <c r="R39" s="8">
        <f>SUM(R37:R38)</f>
        <v>0</v>
      </c>
      <c r="S39" s="8">
        <f>SUM(S37:S38)</f>
        <v>0</v>
      </c>
      <c r="T39" s="8">
        <f>SUM(T37:T38)</f>
        <v>0</v>
      </c>
      <c r="U39" s="8">
        <f>SUM(U37:U38)</f>
        <v>0</v>
      </c>
    </row>
    <row r="40" spans="1:21" x14ac:dyDescent="0.25">
      <c r="B40" s="38"/>
      <c r="C40" s="16"/>
      <c r="P40" s="16"/>
      <c r="Q40" s="16"/>
      <c r="R40" s="8"/>
    </row>
    <row r="41" spans="1:21" x14ac:dyDescent="0.25">
      <c r="A41" s="26">
        <v>2024</v>
      </c>
      <c r="B41" s="39" t="s">
        <v>36</v>
      </c>
      <c r="C41" s="27" t="s">
        <v>40</v>
      </c>
      <c r="D41" s="27" t="s">
        <v>20</v>
      </c>
      <c r="P41" s="16"/>
      <c r="Q41" s="16"/>
      <c r="R41" s="8"/>
    </row>
    <row r="42" spans="1:21" x14ac:dyDescent="0.25">
      <c r="A42" s="28" t="s">
        <v>37</v>
      </c>
      <c r="B42" s="42">
        <v>0</v>
      </c>
      <c r="C42" s="15">
        <f>B42*Pristalsregulsering!C19*Pristalsregulsering!C20</f>
        <v>0</v>
      </c>
      <c r="D42" s="29">
        <v>8</v>
      </c>
      <c r="P42" s="16"/>
      <c r="Q42" s="16"/>
      <c r="R42" s="8"/>
      <c r="S42" s="14">
        <f>C42/D42</f>
        <v>0</v>
      </c>
      <c r="T42">
        <f>C42/D42</f>
        <v>0</v>
      </c>
      <c r="U42">
        <f>C42/D42</f>
        <v>0</v>
      </c>
    </row>
    <row r="43" spans="1:21" x14ac:dyDescent="0.25">
      <c r="A43" s="28" t="s">
        <v>22</v>
      </c>
      <c r="B43" s="42">
        <v>0</v>
      </c>
      <c r="C43" s="15">
        <f>B43*Pristalsregulsering!C19*Pristalsregulsering!C20</f>
        <v>0</v>
      </c>
      <c r="D43" s="29">
        <v>75</v>
      </c>
      <c r="P43" s="16"/>
      <c r="Q43" s="16"/>
      <c r="R43" s="8"/>
      <c r="S43" s="44">
        <f>C43/D43</f>
        <v>0</v>
      </c>
      <c r="T43" s="68">
        <f>C43/D43</f>
        <v>0</v>
      </c>
      <c r="U43" s="68">
        <f>C43/D43</f>
        <v>0</v>
      </c>
    </row>
    <row r="44" spans="1:21" x14ac:dyDescent="0.25">
      <c r="B44" s="40">
        <f>SUM(B42:B43)</f>
        <v>0</v>
      </c>
      <c r="C44" s="31">
        <f>SUM(C42:C43)</f>
        <v>0</v>
      </c>
      <c r="P44" s="16"/>
      <c r="Q44" s="16"/>
      <c r="R44" s="8"/>
      <c r="S44" s="8">
        <f>SUM(S42:S43)</f>
        <v>0</v>
      </c>
      <c r="T44" s="8">
        <f t="shared" ref="T44:U44" si="9">SUM(T42:T43)</f>
        <v>0</v>
      </c>
      <c r="U44" s="8">
        <f t="shared" si="9"/>
        <v>0</v>
      </c>
    </row>
    <row r="45" spans="1:21" x14ac:dyDescent="0.25">
      <c r="B45" s="38"/>
      <c r="C45" s="16"/>
      <c r="P45" s="16"/>
      <c r="Q45" s="16"/>
      <c r="R45" s="8"/>
      <c r="S45" s="8"/>
      <c r="T45" s="8"/>
      <c r="U45" s="8"/>
    </row>
    <row r="46" spans="1:21" x14ac:dyDescent="0.25">
      <c r="A46" s="26">
        <v>2025</v>
      </c>
      <c r="B46" s="39" t="s">
        <v>36</v>
      </c>
      <c r="C46" s="27" t="s">
        <v>40</v>
      </c>
      <c r="D46" s="27" t="s">
        <v>20</v>
      </c>
      <c r="P46" s="16"/>
      <c r="Q46" s="16"/>
      <c r="R46" s="8"/>
      <c r="S46" s="8"/>
      <c r="T46" s="8"/>
      <c r="U46" s="8"/>
    </row>
    <row r="47" spans="1:21" x14ac:dyDescent="0.25">
      <c r="A47" s="28" t="s">
        <v>37</v>
      </c>
      <c r="B47" s="42">
        <v>0</v>
      </c>
      <c r="C47" s="15">
        <f>B47*Pristalsregulsering!C20</f>
        <v>0</v>
      </c>
      <c r="D47" s="29">
        <v>8</v>
      </c>
      <c r="P47" s="16"/>
      <c r="Q47" s="16"/>
      <c r="R47" s="8"/>
      <c r="S47" s="8"/>
      <c r="T47" s="6">
        <f>C47/D47</f>
        <v>0</v>
      </c>
      <c r="U47" s="6">
        <f>C47/D47</f>
        <v>0</v>
      </c>
    </row>
    <row r="48" spans="1:21" x14ac:dyDescent="0.25">
      <c r="A48" s="28" t="s">
        <v>22</v>
      </c>
      <c r="B48" s="42">
        <v>0</v>
      </c>
      <c r="C48" s="15">
        <f>B48*Pristalsregulsering!C20</f>
        <v>0</v>
      </c>
      <c r="D48" s="29">
        <v>75</v>
      </c>
      <c r="P48" s="16"/>
      <c r="Q48" s="16"/>
      <c r="R48" s="8"/>
      <c r="S48" s="8"/>
      <c r="T48" s="11">
        <f>C48/D48</f>
        <v>0</v>
      </c>
      <c r="U48" s="11">
        <f>C48/D48</f>
        <v>0</v>
      </c>
    </row>
    <row r="49" spans="1:21" x14ac:dyDescent="0.25">
      <c r="B49" s="40">
        <f>SUM(B47:B48)</f>
        <v>0</v>
      </c>
      <c r="C49" s="31">
        <f>SUM(C47:C48)</f>
        <v>0</v>
      </c>
      <c r="P49" s="16"/>
      <c r="Q49" s="16"/>
      <c r="R49" s="8"/>
      <c r="S49" s="8"/>
      <c r="T49" s="8">
        <f>SUM(T47:T48)</f>
        <v>0</v>
      </c>
      <c r="U49" s="8">
        <f>SUM(U47:U48)</f>
        <v>0</v>
      </c>
    </row>
    <row r="50" spans="1:21" x14ac:dyDescent="0.25">
      <c r="B50" s="38"/>
      <c r="C50" s="16"/>
      <c r="P50" s="16"/>
      <c r="Q50" s="16"/>
      <c r="R50" s="8"/>
      <c r="S50" s="8"/>
      <c r="T50" s="8"/>
      <c r="U50" s="8"/>
    </row>
    <row r="51" spans="1:21" x14ac:dyDescent="0.25">
      <c r="A51" s="26">
        <v>2026</v>
      </c>
      <c r="B51" s="39" t="s">
        <v>36</v>
      </c>
      <c r="C51" s="27" t="s">
        <v>40</v>
      </c>
      <c r="D51" s="27" t="s">
        <v>20</v>
      </c>
      <c r="P51" s="16"/>
      <c r="Q51" s="16"/>
      <c r="R51" s="8"/>
      <c r="S51" s="8"/>
      <c r="T51" s="8"/>
      <c r="U51" s="8"/>
    </row>
    <row r="52" spans="1:21" x14ac:dyDescent="0.25">
      <c r="A52" s="28" t="s">
        <v>37</v>
      </c>
      <c r="B52" s="42">
        <v>0</v>
      </c>
      <c r="C52" s="15">
        <f>B52</f>
        <v>0</v>
      </c>
      <c r="D52" s="29">
        <v>8</v>
      </c>
      <c r="P52" s="16"/>
      <c r="Q52" s="16"/>
      <c r="R52" s="8"/>
      <c r="S52" s="8"/>
      <c r="T52" s="8"/>
      <c r="U52" s="6">
        <f>C52/D52</f>
        <v>0</v>
      </c>
    </row>
    <row r="53" spans="1:21" x14ac:dyDescent="0.25">
      <c r="A53" s="28" t="s">
        <v>22</v>
      </c>
      <c r="B53" s="42">
        <v>0</v>
      </c>
      <c r="C53" s="15">
        <f>B53</f>
        <v>0</v>
      </c>
      <c r="D53" s="29">
        <v>75</v>
      </c>
      <c r="P53" s="16"/>
      <c r="Q53" s="16"/>
      <c r="R53" s="8"/>
      <c r="S53" s="8"/>
      <c r="T53" s="8"/>
      <c r="U53" s="11">
        <f>C53/D53</f>
        <v>0</v>
      </c>
    </row>
    <row r="54" spans="1:21" x14ac:dyDescent="0.25">
      <c r="B54" s="40">
        <f>SUM(B52:B53)</f>
        <v>0</v>
      </c>
      <c r="C54" s="31">
        <f>SUM(C52:C53)</f>
        <v>0</v>
      </c>
      <c r="P54" s="16"/>
      <c r="Q54" s="16"/>
      <c r="R54" s="8"/>
      <c r="S54" s="8"/>
      <c r="T54" s="8"/>
      <c r="U54" s="8">
        <f>SUM(U52:U53)</f>
        <v>0</v>
      </c>
    </row>
    <row r="55" spans="1:21" x14ac:dyDescent="0.25">
      <c r="B55" s="38"/>
      <c r="C55" s="16"/>
      <c r="P55" s="16"/>
      <c r="Q55" s="16"/>
      <c r="R55" s="8"/>
    </row>
    <row r="56" spans="1:21" x14ac:dyDescent="0.25">
      <c r="E56" s="21">
        <v>2010</v>
      </c>
      <c r="F56" s="21">
        <v>2011</v>
      </c>
      <c r="G56" s="21">
        <v>2012</v>
      </c>
      <c r="H56" s="21">
        <v>2013</v>
      </c>
      <c r="I56" s="21">
        <v>2014</v>
      </c>
      <c r="J56" s="21">
        <v>2015</v>
      </c>
      <c r="K56" s="21">
        <v>2016</v>
      </c>
      <c r="L56" s="23">
        <v>2017</v>
      </c>
      <c r="M56" s="23">
        <v>2018</v>
      </c>
      <c r="N56" s="23">
        <v>2019</v>
      </c>
      <c r="O56" s="23" t="s">
        <v>38</v>
      </c>
      <c r="P56" s="23" t="s">
        <v>39</v>
      </c>
      <c r="Q56" s="23">
        <v>2022</v>
      </c>
      <c r="R56" s="23" t="s">
        <v>41</v>
      </c>
      <c r="S56" s="23">
        <v>2024</v>
      </c>
      <c r="T56" s="23">
        <v>2025</v>
      </c>
      <c r="U56" s="23">
        <v>2026</v>
      </c>
    </row>
    <row r="57" spans="1:21" x14ac:dyDescent="0.25">
      <c r="B57" s="38"/>
      <c r="C57" s="16"/>
      <c r="E57" s="25" t="s">
        <v>23</v>
      </c>
    </row>
    <row r="58" spans="1:21" ht="15.75" thickBot="1" x14ac:dyDescent="0.3">
      <c r="A58" s="33" t="s">
        <v>53</v>
      </c>
      <c r="B58" s="43">
        <f>B9+B14+B19+B24+B29+B34+B39+B44+B49+B54</f>
        <v>139346.5</v>
      </c>
      <c r="C58" s="43">
        <f>C9+C14+C19+C24+C29+C34+C39+C44+C49+C54</f>
        <v>186685.34374760749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f>L9</f>
        <v>236.75037996897225</v>
      </c>
      <c r="M58" s="14">
        <f>M9+M14</f>
        <v>2766.501231417009</v>
      </c>
      <c r="N58" s="14">
        <f>N9+N14+N19</f>
        <v>2875.0590701255674</v>
      </c>
      <c r="O58" s="14">
        <f>O9+O14+O19+O24</f>
        <v>2875.0590701255674</v>
      </c>
      <c r="P58" s="14">
        <f>P9+P14+P19+P24+P29</f>
        <v>3060.915039443506</v>
      </c>
      <c r="Q58" s="14">
        <f>Q9+Q14+Q19+Q24+Q29+Q34</f>
        <v>3060.915039443506</v>
      </c>
      <c r="R58" s="14">
        <f>R9+R14+R19+R24+R29+R34+R39</f>
        <v>3060.915039443506</v>
      </c>
      <c r="S58" s="14">
        <f>S9+S14+S19+S24+S29+S34+S39+S44</f>
        <v>3060.915039443506</v>
      </c>
      <c r="T58" s="14">
        <f>T9+T14+T19+T24+T29+T34+T39+T44+T49</f>
        <v>2824.1646594745339</v>
      </c>
      <c r="U58" s="14">
        <f>U9+U14+U19+U24+U29+U34+U39+U44+U49+U54</f>
        <v>2715.2798294005183</v>
      </c>
    </row>
    <row r="59" spans="1:21" x14ac:dyDescent="0.25">
      <c r="S59" s="14"/>
    </row>
    <row r="60" spans="1:21" x14ac:dyDescent="0.25">
      <c r="E60" s="25" t="s">
        <v>24</v>
      </c>
    </row>
    <row r="61" spans="1:21" x14ac:dyDescent="0.25">
      <c r="E61" s="14">
        <v>0</v>
      </c>
      <c r="F61" s="14">
        <v>0</v>
      </c>
      <c r="G61" s="14">
        <f>0+F61-G58</f>
        <v>0</v>
      </c>
      <c r="H61" s="14">
        <v>0</v>
      </c>
      <c r="I61" s="14">
        <v>0</v>
      </c>
      <c r="J61" s="14">
        <v>0</v>
      </c>
      <c r="K61" s="14">
        <v>0</v>
      </c>
      <c r="L61" s="14">
        <f>C9-L58</f>
        <v>1657.2526597828057</v>
      </c>
      <c r="M61" s="14">
        <f>C14+L61-M58</f>
        <v>181326.78167200953</v>
      </c>
      <c r="N61" s="14">
        <f>C19+M61-N58</f>
        <v>179320.18531155243</v>
      </c>
      <c r="O61" s="14">
        <f>C24+N61-O58</f>
        <v>176445.12624142686</v>
      </c>
      <c r="P61" s="14">
        <f>C29+O61-P58</f>
        <v>174871.05895652686</v>
      </c>
      <c r="Q61" s="14">
        <f>C34+P61-Q58</f>
        <v>171810.14391708336</v>
      </c>
      <c r="R61" s="6">
        <f>C39+Q61-R58</f>
        <v>168749.22887763986</v>
      </c>
      <c r="S61" s="6">
        <f>C44+R61-S58</f>
        <v>165688.31383819637</v>
      </c>
      <c r="T61" s="6">
        <f>C49+S61-T58</f>
        <v>162864.14917872183</v>
      </c>
      <c r="U61" s="6">
        <f>C54+T61-U58</f>
        <v>160148.86934932132</v>
      </c>
    </row>
    <row r="62" spans="1:21" x14ac:dyDescent="0.25">
      <c r="A62" s="45"/>
    </row>
  </sheetData>
  <mergeCells count="1">
    <mergeCell ref="D4:U4"/>
  </mergeCells>
  <pageMargins left="0.25" right="0.25" top="0.75" bottom="0.75" header="0.3" footer="0.3"/>
  <pageSetup paperSize="9" scale="1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C7EE-0A0D-4089-9941-5EE1E218B7AC}">
  <dimension ref="A1:E20"/>
  <sheetViews>
    <sheetView workbookViewId="0">
      <selection activeCell="E21" sqref="E21"/>
    </sheetView>
  </sheetViews>
  <sheetFormatPr defaultRowHeight="15" x14ac:dyDescent="0.25"/>
  <cols>
    <col min="1" max="1" width="9.7109375" bestFit="1" customWidth="1"/>
    <col min="2" max="2" width="12.42578125" bestFit="1" customWidth="1"/>
    <col min="3" max="3" width="15.42578125" bestFit="1" customWidth="1"/>
    <col min="5" max="5" width="22.5703125" style="6" bestFit="1" customWidth="1"/>
  </cols>
  <sheetData>
    <row r="1" spans="1:5" ht="18.75" x14ac:dyDescent="0.3">
      <c r="A1" s="5" t="s">
        <v>25</v>
      </c>
    </row>
    <row r="2" spans="1:5" x14ac:dyDescent="0.25">
      <c r="E2" s="8" t="s">
        <v>35</v>
      </c>
    </row>
    <row r="3" spans="1:5" ht="15.75" thickBot="1" x14ac:dyDescent="0.3">
      <c r="A3" s="1" t="s">
        <v>0</v>
      </c>
      <c r="B3" s="2" t="s">
        <v>1</v>
      </c>
      <c r="C3" s="2" t="s">
        <v>2</v>
      </c>
      <c r="E3" s="6">
        <v>1</v>
      </c>
    </row>
    <row r="4" spans="1:5" ht="15.75" thickTop="1" x14ac:dyDescent="0.25">
      <c r="A4" s="3" t="s">
        <v>3</v>
      </c>
      <c r="B4">
        <v>1.11E-2</v>
      </c>
      <c r="C4">
        <f t="shared" ref="C4:C17" si="0">1+B4</f>
        <v>1.0111000000000001</v>
      </c>
      <c r="E4" s="20">
        <f t="shared" ref="E4:E17" si="1">E3*C4</f>
        <v>1.0111000000000001</v>
      </c>
    </row>
    <row r="5" spans="1:5" x14ac:dyDescent="0.25">
      <c r="A5" s="3" t="s">
        <v>4</v>
      </c>
      <c r="B5" s="4">
        <v>5.0000000000000001E-3</v>
      </c>
      <c r="C5" s="4">
        <f t="shared" si="0"/>
        <v>1.0049999999999999</v>
      </c>
      <c r="E5" s="20">
        <f t="shared" si="1"/>
        <v>1.0161555</v>
      </c>
    </row>
    <row r="6" spans="1:5" x14ac:dyDescent="0.25">
      <c r="A6" s="3" t="s">
        <v>5</v>
      </c>
      <c r="B6" s="4">
        <v>2.3E-2</v>
      </c>
      <c r="C6" s="4">
        <f t="shared" si="0"/>
        <v>1.0229999999999999</v>
      </c>
      <c r="E6" s="20">
        <f t="shared" si="1"/>
        <v>1.0395270765</v>
      </c>
    </row>
    <row r="7" spans="1:5" x14ac:dyDescent="0.25">
      <c r="A7" s="3" t="s">
        <v>6</v>
      </c>
      <c r="B7" s="4">
        <v>3.1E-2</v>
      </c>
      <c r="C7" s="4">
        <f t="shared" si="0"/>
        <v>1.0309999999999999</v>
      </c>
      <c r="E7" s="20">
        <f t="shared" si="1"/>
        <v>1.0717524158714999</v>
      </c>
    </row>
    <row r="8" spans="1:5" x14ac:dyDescent="0.25">
      <c r="A8" s="3" t="s">
        <v>7</v>
      </c>
      <c r="B8" s="4">
        <v>1.4999999999999999E-2</v>
      </c>
      <c r="C8" s="4">
        <f t="shared" si="0"/>
        <v>1.0149999999999999</v>
      </c>
      <c r="E8" s="20">
        <f t="shared" si="1"/>
        <v>1.0878287021095723</v>
      </c>
    </row>
    <row r="9" spans="1:5" x14ac:dyDescent="0.25">
      <c r="A9" s="3" t="s">
        <v>8</v>
      </c>
      <c r="B9">
        <v>8.0000000000000004E-4</v>
      </c>
      <c r="C9">
        <f t="shared" si="0"/>
        <v>1.0007999999999999</v>
      </c>
      <c r="E9" s="20">
        <f t="shared" si="1"/>
        <v>1.0886989650712597</v>
      </c>
    </row>
    <row r="10" spans="1:5" x14ac:dyDescent="0.25">
      <c r="A10" s="3" t="s">
        <v>9</v>
      </c>
      <c r="B10">
        <v>-3.8E-3</v>
      </c>
      <c r="C10">
        <f t="shared" si="0"/>
        <v>0.99619999999999997</v>
      </c>
      <c r="E10" s="20">
        <f t="shared" si="1"/>
        <v>1.0845619090039889</v>
      </c>
    </row>
    <row r="11" spans="1:5" x14ac:dyDescent="0.25">
      <c r="A11" s="3" t="s">
        <v>10</v>
      </c>
      <c r="B11">
        <v>1.2699999999999999E-2</v>
      </c>
      <c r="C11">
        <f t="shared" si="0"/>
        <v>1.0126999999999999</v>
      </c>
      <c r="E11" s="20">
        <f t="shared" si="1"/>
        <v>1.0983358452483394</v>
      </c>
    </row>
    <row r="12" spans="1:5" x14ac:dyDescent="0.25">
      <c r="A12" s="3" t="s">
        <v>11</v>
      </c>
      <c r="B12">
        <v>1.7500000000000002E-2</v>
      </c>
      <c r="C12">
        <f t="shared" si="0"/>
        <v>1.0175000000000001</v>
      </c>
      <c r="E12" s="20">
        <f t="shared" si="1"/>
        <v>1.1175567225401855</v>
      </c>
    </row>
    <row r="13" spans="1:5" x14ac:dyDescent="0.25">
      <c r="A13" s="3" t="s">
        <v>12</v>
      </c>
      <c r="B13">
        <v>1.6899999999999998E-2</v>
      </c>
      <c r="C13">
        <f t="shared" si="0"/>
        <v>1.0168999999999999</v>
      </c>
      <c r="E13" s="20">
        <f t="shared" si="1"/>
        <v>1.1364434311511145</v>
      </c>
    </row>
    <row r="14" spans="1:5" x14ac:dyDescent="0.25">
      <c r="A14" s="3" t="s">
        <v>13</v>
      </c>
      <c r="B14">
        <v>1.9699999999999999E-2</v>
      </c>
      <c r="C14">
        <f t="shared" si="0"/>
        <v>1.0197000000000001</v>
      </c>
      <c r="E14" s="20">
        <f t="shared" si="1"/>
        <v>1.1588313667447914</v>
      </c>
    </row>
    <row r="15" spans="1:5" x14ac:dyDescent="0.25">
      <c r="A15" s="3" t="s">
        <v>14</v>
      </c>
      <c r="B15">
        <v>1.2200000000000001E-2</v>
      </c>
      <c r="C15">
        <f t="shared" si="0"/>
        <v>1.0122</v>
      </c>
      <c r="E15" s="20">
        <f>E14*C15</f>
        <v>1.1729691094190777</v>
      </c>
    </row>
    <row r="16" spans="1:5" x14ac:dyDescent="0.25">
      <c r="A16" s="3" t="s">
        <v>15</v>
      </c>
      <c r="B16">
        <v>3.3E-3</v>
      </c>
      <c r="C16">
        <f t="shared" si="0"/>
        <v>1.0033000000000001</v>
      </c>
      <c r="E16" s="20">
        <f t="shared" si="1"/>
        <v>1.1768399074801608</v>
      </c>
    </row>
    <row r="17" spans="1:5" x14ac:dyDescent="0.25">
      <c r="A17" s="3" t="s">
        <v>16</v>
      </c>
      <c r="B17">
        <v>3.56E-2</v>
      </c>
      <c r="C17">
        <f t="shared" si="0"/>
        <v>1.0356000000000001</v>
      </c>
      <c r="E17" s="20">
        <f t="shared" si="1"/>
        <v>1.2187354081864545</v>
      </c>
    </row>
    <row r="18" spans="1:5" s="57" customFormat="1" x14ac:dyDescent="0.25">
      <c r="A18" s="64" t="s">
        <v>55</v>
      </c>
      <c r="B18" s="57">
        <v>8.0799999999999997E-2</v>
      </c>
      <c r="C18" s="57">
        <f t="shared" ref="C18:C20" si="2">1+B18</f>
        <v>1.0808</v>
      </c>
      <c r="E18" s="65">
        <f>E17*C18</f>
        <v>1.31720922916792</v>
      </c>
    </row>
    <row r="19" spans="1:5" x14ac:dyDescent="0.25">
      <c r="A19" s="3" t="s">
        <v>59</v>
      </c>
      <c r="B19">
        <v>6.6299999999999998E-2</v>
      </c>
      <c r="C19">
        <f t="shared" si="2"/>
        <v>1.0663</v>
      </c>
      <c r="E19" s="65">
        <f>E18*C19</f>
        <v>1.4045402010617531</v>
      </c>
    </row>
    <row r="20" spans="1:5" x14ac:dyDescent="0.25">
      <c r="A20" s="3" t="s">
        <v>63</v>
      </c>
      <c r="B20">
        <v>6.6299999999999998E-2</v>
      </c>
      <c r="C20">
        <f t="shared" si="2"/>
        <v>1.0663</v>
      </c>
      <c r="E20" s="65">
        <f>E19*C20</f>
        <v>1.4976612163921474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Reduceret tilslutningsbidrag</vt:lpstr>
      <vt:lpstr>Historiske invest. jf. POLKA</vt:lpstr>
      <vt:lpstr>Gennemf. invest. 2010-2024</vt:lpstr>
      <vt:lpstr>Pristalsregulsering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Rene Hansen</dc:creator>
  <cp:lastModifiedBy>Kim Rene Hansen</cp:lastModifiedBy>
  <cp:lastPrinted>2024-05-02T11:15:11Z</cp:lastPrinted>
  <dcterms:created xsi:type="dcterms:W3CDTF">2023-04-27T08:38:52Z</dcterms:created>
  <dcterms:modified xsi:type="dcterms:W3CDTF">2026-04-29T08:22:48Z</dcterms:modified>
</cp:coreProperties>
</file>